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Eric LYK\Desktop\Supr\climbing hold catalogue\Latest catelogue after price change\"/>
    </mc:Choice>
  </mc:AlternateContent>
  <xr:revisionPtr revIDLastSave="0" documentId="13_ncr:1_{CB62319D-0F62-4F4F-8A57-0073D8C7AF78}" xr6:coauthVersionLast="47" xr6:coauthVersionMax="47" xr10:uidLastSave="{00000000-0000-0000-0000-000000000000}"/>
  <bookViews>
    <workbookView xWindow="3015" yWindow="-16320" windowWidth="29040" windowHeight="15720" firstSheet="1" activeTab="12" xr2:uid="{00000000-000D-0000-FFFF-FFFF00000000}"/>
  </bookViews>
  <sheets>
    <sheet name="DOWN JUG" sheetId="1" r:id="rId1"/>
    <sheet name="TERROR" sheetId="2" r:id="rId2"/>
    <sheet name="COMMAS DT" sheetId="3" r:id="rId3"/>
    <sheet name="COMMAS PE" sheetId="4" r:id="rId4"/>
    <sheet name="BOARDERLINE PE" sheetId="6" r:id="rId5"/>
    <sheet name="ECLIPSE" sheetId="5" r:id="rId6"/>
    <sheet name="HARD BOILED DT" sheetId="7" r:id="rId7"/>
    <sheet name="DRIFTS" sheetId="8" r:id="rId8"/>
    <sheet name="FANGS DT" sheetId="9" r:id="rId9"/>
    <sheet name="LOAVES" sheetId="10" r:id="rId10"/>
    <sheet name="ROCK LINE" sheetId="11" r:id="rId11"/>
    <sheet name="SMOOTHLINE" sheetId="12" r:id="rId12"/>
    <sheet name="FIBERGLASS MACROS" sheetId="13" r:id="rId13"/>
    <sheet name="THERMO PLASTIC MACROS DUAL " sheetId="14" r:id="rId14"/>
    <sheet name="THERMO PLASTIC MACROS FT" sheetId="15" r:id="rId15"/>
    <sheet name="WOOD VOLUME" sheetId="19" r:id="rId16"/>
    <sheet name="TOTAL" sheetId="16" r:id="rId17"/>
    <sheet name="TOTALS" sheetId="17" state="hidden" r:id="rId18"/>
    <sheet name="NEW Wooden volume" sheetId="18" state="hidden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2" roundtripDataChecksum="iZHglOj9SOmXVFzkupdJW0xD0KKD1p9zKdQVWH+XuwI="/>
    </ext>
  </extLst>
</workbook>
</file>

<file path=xl/calcChain.xml><?xml version="1.0" encoding="utf-8"?>
<calcChain xmlns="http://schemas.openxmlformats.org/spreadsheetml/2006/main">
  <c r="N10" i="19" l="1"/>
  <c r="O10" i="19"/>
  <c r="P10" i="19"/>
  <c r="V45" i="16"/>
  <c r="T49" i="16"/>
  <c r="T47" i="16"/>
  <c r="S49" i="16"/>
  <c r="S47" i="16"/>
  <c r="V49" i="16"/>
  <c r="V47" i="16"/>
  <c r="U64" i="16" s="1"/>
  <c r="U63" i="16"/>
  <c r="T62" i="16"/>
  <c r="S61" i="16"/>
  <c r="K49" i="16"/>
  <c r="J49" i="16"/>
  <c r="I49" i="16"/>
  <c r="H49" i="16"/>
  <c r="G49" i="16"/>
  <c r="F49" i="16"/>
  <c r="E49" i="16"/>
  <c r="D49" i="16"/>
  <c r="K47" i="16"/>
  <c r="J47" i="16"/>
  <c r="J59" i="16" s="1"/>
  <c r="I47" i="16"/>
  <c r="I59" i="16" s="1"/>
  <c r="H47" i="16"/>
  <c r="G47" i="16"/>
  <c r="F47" i="16"/>
  <c r="E47" i="16"/>
  <c r="D47" i="16"/>
  <c r="D59" i="16" s="1"/>
  <c r="H59" i="16"/>
  <c r="G59" i="16"/>
  <c r="F59" i="16"/>
  <c r="E59" i="16"/>
  <c r="K59" i="16"/>
  <c r="U59" i="16"/>
  <c r="P21" i="19"/>
  <c r="O21" i="19"/>
  <c r="N21" i="19"/>
  <c r="M21" i="19"/>
  <c r="L21" i="19"/>
  <c r="K21" i="19"/>
  <c r="J21" i="19"/>
  <c r="I21" i="19"/>
  <c r="Q20" i="19"/>
  <c r="S20" i="19" s="1"/>
  <c r="Q19" i="19"/>
  <c r="R19" i="19" s="1"/>
  <c r="Q18" i="19"/>
  <c r="S18" i="19" s="1"/>
  <c r="Q17" i="19"/>
  <c r="R17" i="19" s="1"/>
  <c r="Q16" i="19"/>
  <c r="R16" i="19" s="1"/>
  <c r="M10" i="19"/>
  <c r="L10" i="19"/>
  <c r="K10" i="19"/>
  <c r="J10" i="19"/>
  <c r="I10" i="19"/>
  <c r="Q9" i="19"/>
  <c r="R9" i="19" s="1"/>
  <c r="Q8" i="19"/>
  <c r="S8" i="19" s="1"/>
  <c r="Q7" i="19"/>
  <c r="T7" i="19" s="1"/>
  <c r="Q6" i="19"/>
  <c r="T6" i="19" s="1"/>
  <c r="Q5" i="19"/>
  <c r="T5" i="19" s="1"/>
  <c r="U16" i="3"/>
  <c r="V16" i="3" s="1"/>
  <c r="W16" i="3"/>
  <c r="X16" i="3"/>
  <c r="U25" i="11"/>
  <c r="X25" i="11" s="1"/>
  <c r="U31" i="7"/>
  <c r="U6" i="7"/>
  <c r="U8" i="7"/>
  <c r="V8" i="7" s="1"/>
  <c r="U9" i="7"/>
  <c r="W8" i="7"/>
  <c r="X8" i="7"/>
  <c r="V9" i="7"/>
  <c r="W9" i="7"/>
  <c r="X9" i="7"/>
  <c r="U25" i="12"/>
  <c r="X25" i="12" s="1"/>
  <c r="M56" i="14"/>
  <c r="D25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G22" i="12"/>
  <c r="H64" i="12"/>
  <c r="I64" i="12"/>
  <c r="J64" i="12"/>
  <c r="K64" i="12"/>
  <c r="L64" i="12"/>
  <c r="M64" i="12"/>
  <c r="N64" i="12"/>
  <c r="O64" i="12"/>
  <c r="P64" i="12"/>
  <c r="Q64" i="12"/>
  <c r="R64" i="12"/>
  <c r="S64" i="12"/>
  <c r="T64" i="12"/>
  <c r="G64" i="12"/>
  <c r="F25" i="12"/>
  <c r="F7" i="12"/>
  <c r="D7" i="12"/>
  <c r="U7" i="12"/>
  <c r="V7" i="12" s="1"/>
  <c r="N40" i="11"/>
  <c r="H40" i="11"/>
  <c r="I40" i="11"/>
  <c r="J40" i="11"/>
  <c r="K40" i="11"/>
  <c r="L40" i="11"/>
  <c r="M40" i="11"/>
  <c r="O40" i="11"/>
  <c r="P40" i="11"/>
  <c r="Q40" i="11"/>
  <c r="R40" i="11"/>
  <c r="S40" i="11"/>
  <c r="T40" i="11"/>
  <c r="G40" i="11"/>
  <c r="U5" i="11"/>
  <c r="W5" i="11" s="1"/>
  <c r="F5" i="11"/>
  <c r="D5" i="11"/>
  <c r="S16" i="19" l="1"/>
  <c r="T16" i="19"/>
  <c r="S19" i="19"/>
  <c r="T18" i="19"/>
  <c r="T19" i="19"/>
  <c r="R20" i="19"/>
  <c r="S17" i="19"/>
  <c r="S21" i="19" s="1"/>
  <c r="T17" i="19"/>
  <c r="T20" i="19"/>
  <c r="R18" i="19"/>
  <c r="Q21" i="19"/>
  <c r="T8" i="19"/>
  <c r="R8" i="19"/>
  <c r="Q10" i="19"/>
  <c r="R7" i="19"/>
  <c r="R5" i="19"/>
  <c r="S5" i="19"/>
  <c r="R6" i="19"/>
  <c r="S9" i="19"/>
  <c r="S6" i="19"/>
  <c r="T9" i="19"/>
  <c r="S7" i="19"/>
  <c r="V25" i="11"/>
  <c r="W25" i="11"/>
  <c r="V5" i="11"/>
  <c r="X5" i="11"/>
  <c r="V25" i="12"/>
  <c r="W25" i="12"/>
  <c r="X7" i="12"/>
  <c r="W7" i="12"/>
  <c r="X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G30" i="10"/>
  <c r="F6" i="10"/>
  <c r="D6" i="10"/>
  <c r="U6" i="10"/>
  <c r="V6" i="10"/>
  <c r="W6" i="10"/>
  <c r="X6" i="10"/>
  <c r="X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G19" i="9"/>
  <c r="W6" i="9"/>
  <c r="F6" i="9"/>
  <c r="D6" i="9"/>
  <c r="U6" i="9"/>
  <c r="V6" i="9" s="1"/>
  <c r="X6" i="9"/>
  <c r="F5" i="8"/>
  <c r="D5" i="8"/>
  <c r="U5" i="8"/>
  <c r="X5" i="8"/>
  <c r="W6" i="7"/>
  <c r="V6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G31" i="7"/>
  <c r="F6" i="7"/>
  <c r="D6" i="7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F16" i="6"/>
  <c r="E5" i="6"/>
  <c r="C5" i="6"/>
  <c r="T5" i="6"/>
  <c r="U5" i="6" s="1"/>
  <c r="X46" i="5"/>
  <c r="U46" i="5"/>
  <c r="V46" i="5"/>
  <c r="W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G46" i="5"/>
  <c r="X31" i="5"/>
  <c r="U31" i="5"/>
  <c r="V31" i="5"/>
  <c r="W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G31" i="5"/>
  <c r="X14" i="5"/>
  <c r="V14" i="5"/>
  <c r="W14" i="5"/>
  <c r="U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G14" i="5"/>
  <c r="F35" i="5"/>
  <c r="D35" i="5"/>
  <c r="X35" i="5"/>
  <c r="U35" i="5"/>
  <c r="V35" i="5"/>
  <c r="W35" i="5"/>
  <c r="F17" i="5"/>
  <c r="D17" i="5"/>
  <c r="U17" i="5"/>
  <c r="V17" i="5"/>
  <c r="X17" i="5"/>
  <c r="F6" i="5"/>
  <c r="D6" i="5"/>
  <c r="U6" i="5"/>
  <c r="W6" i="5" s="1"/>
  <c r="X17" i="4"/>
  <c r="V17" i="4"/>
  <c r="W17" i="4"/>
  <c r="U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G17" i="4"/>
  <c r="W5" i="4"/>
  <c r="F6" i="2"/>
  <c r="F5" i="4"/>
  <c r="D5" i="4"/>
  <c r="U5" i="4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G20" i="2"/>
  <c r="S19" i="3"/>
  <c r="T19" i="3"/>
  <c r="H19" i="3"/>
  <c r="I19" i="3"/>
  <c r="J19" i="3"/>
  <c r="K19" i="3"/>
  <c r="L19" i="3"/>
  <c r="M19" i="3"/>
  <c r="N19" i="3"/>
  <c r="O19" i="3"/>
  <c r="P19" i="3"/>
  <c r="Q19" i="3"/>
  <c r="R19" i="3"/>
  <c r="G19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G36" i="3"/>
  <c r="F21" i="3"/>
  <c r="X21" i="3" s="1"/>
  <c r="D21" i="3"/>
  <c r="U21" i="3"/>
  <c r="W21" i="3" s="1"/>
  <c r="U5" i="3"/>
  <c r="F5" i="3"/>
  <c r="D5" i="3"/>
  <c r="U6" i="2"/>
  <c r="D6" i="2"/>
  <c r="G16" i="13"/>
  <c r="G6" i="13"/>
  <c r="R21" i="19" l="1"/>
  <c r="T21" i="19"/>
  <c r="T10" i="19"/>
  <c r="R10" i="19"/>
  <c r="T59" i="16" s="1"/>
  <c r="S10" i="19"/>
  <c r="X6" i="7"/>
  <c r="V5" i="6"/>
  <c r="W5" i="6"/>
  <c r="V5" i="8"/>
  <c r="W5" i="8"/>
  <c r="X6" i="5"/>
  <c r="V6" i="5"/>
  <c r="X5" i="3"/>
  <c r="V6" i="2"/>
  <c r="X6" i="2"/>
  <c r="V5" i="4"/>
  <c r="X5" i="4"/>
  <c r="V21" i="3"/>
  <c r="V5" i="3"/>
  <c r="T41" i="17"/>
  <c r="L33" i="17"/>
  <c r="F31" i="17"/>
  <c r="U57" i="16"/>
  <c r="N57" i="16"/>
  <c r="M57" i="16"/>
  <c r="L57" i="16"/>
  <c r="S55" i="16"/>
  <c r="N55" i="16"/>
  <c r="M55" i="16"/>
  <c r="J55" i="16"/>
  <c r="I55" i="16"/>
  <c r="H55" i="16"/>
  <c r="H31" i="16"/>
  <c r="T74" i="15"/>
  <c r="V74" i="15" s="1"/>
  <c r="T73" i="15"/>
  <c r="V73" i="15" s="1"/>
  <c r="T72" i="15"/>
  <c r="V72" i="15" s="1"/>
  <c r="T71" i="15"/>
  <c r="V71" i="15" s="1"/>
  <c r="T70" i="15"/>
  <c r="V70" i="15" s="1"/>
  <c r="T69" i="15"/>
  <c r="V69" i="15" s="1"/>
  <c r="T68" i="15"/>
  <c r="V68" i="15" s="1"/>
  <c r="T67" i="15"/>
  <c r="V67" i="15" s="1"/>
  <c r="T66" i="15"/>
  <c r="V66" i="15" s="1"/>
  <c r="T65" i="15"/>
  <c r="V65" i="15" s="1"/>
  <c r="T64" i="15"/>
  <c r="V64" i="15" s="1"/>
  <c r="T63" i="15"/>
  <c r="V63" i="15" s="1"/>
  <c r="T62" i="15"/>
  <c r="V62" i="15" s="1"/>
  <c r="T61" i="15"/>
  <c r="V61" i="15" s="1"/>
  <c r="T60" i="15"/>
  <c r="V60" i="15" s="1"/>
  <c r="T59" i="15"/>
  <c r="V59" i="15" s="1"/>
  <c r="T58" i="15"/>
  <c r="V58" i="15" s="1"/>
  <c r="V57" i="15"/>
  <c r="D57" i="15"/>
  <c r="T57" i="15" s="1"/>
  <c r="T55" i="15"/>
  <c r="V55" i="15" s="1"/>
  <c r="T54" i="15"/>
  <c r="V54" i="15" s="1"/>
  <c r="T53" i="15"/>
  <c r="V53" i="15" s="1"/>
  <c r="T52" i="15"/>
  <c r="V52" i="15" s="1"/>
  <c r="T51" i="15"/>
  <c r="V51" i="15" s="1"/>
  <c r="T50" i="15"/>
  <c r="V50" i="15" s="1"/>
  <c r="T49" i="15"/>
  <c r="V49" i="15" s="1"/>
  <c r="T48" i="15"/>
  <c r="V48" i="15" s="1"/>
  <c r="T47" i="15"/>
  <c r="V47" i="15" s="1"/>
  <c r="T46" i="15"/>
  <c r="V46" i="15" s="1"/>
  <c r="T45" i="15"/>
  <c r="V45" i="15" s="1"/>
  <c r="T44" i="15"/>
  <c r="V44" i="15" s="1"/>
  <c r="V43" i="15"/>
  <c r="D43" i="15"/>
  <c r="T41" i="15"/>
  <c r="V41" i="15" s="1"/>
  <c r="T40" i="15"/>
  <c r="V40" i="15" s="1"/>
  <c r="T39" i="15"/>
  <c r="V39" i="15" s="1"/>
  <c r="T38" i="15"/>
  <c r="V38" i="15" s="1"/>
  <c r="T37" i="15"/>
  <c r="V37" i="15" s="1"/>
  <c r="T36" i="15"/>
  <c r="V36" i="15" s="1"/>
  <c r="V35" i="15"/>
  <c r="T35" i="15"/>
  <c r="T33" i="15"/>
  <c r="M33" i="15"/>
  <c r="G33" i="15"/>
  <c r="Q25" i="15"/>
  <c r="R45" i="16" s="1"/>
  <c r="P25" i="15"/>
  <c r="Q45" i="16" s="1"/>
  <c r="O25" i="15"/>
  <c r="K45" i="16" s="1"/>
  <c r="N25" i="15"/>
  <c r="O45" i="16" s="1"/>
  <c r="M25" i="15"/>
  <c r="I45" i="16" s="1"/>
  <c r="L25" i="15"/>
  <c r="P45" i="16" s="1"/>
  <c r="K25" i="15"/>
  <c r="G45" i="16" s="1"/>
  <c r="J25" i="15"/>
  <c r="F45" i="16" s="1"/>
  <c r="I25" i="15"/>
  <c r="E45" i="16" s="1"/>
  <c r="H25" i="15"/>
  <c r="D45" i="16" s="1"/>
  <c r="R24" i="15"/>
  <c r="S24" i="15" s="1"/>
  <c r="R23" i="15"/>
  <c r="S23" i="15" s="1"/>
  <c r="R22" i="15"/>
  <c r="S22" i="15" s="1"/>
  <c r="R21" i="15"/>
  <c r="S21" i="15" s="1"/>
  <c r="R20" i="15"/>
  <c r="S20" i="15" s="1"/>
  <c r="R19" i="15"/>
  <c r="S19" i="15" s="1"/>
  <c r="R18" i="15"/>
  <c r="S18" i="15" s="1"/>
  <c r="R17" i="15"/>
  <c r="S17" i="15" s="1"/>
  <c r="R16" i="15"/>
  <c r="S16" i="15" s="1"/>
  <c r="R15" i="15"/>
  <c r="S15" i="15" s="1"/>
  <c r="R14" i="15"/>
  <c r="S14" i="15" s="1"/>
  <c r="R13" i="15"/>
  <c r="S13" i="15" s="1"/>
  <c r="R12" i="15"/>
  <c r="S12" i="15" s="1"/>
  <c r="R11" i="15"/>
  <c r="S11" i="15" s="1"/>
  <c r="R10" i="15"/>
  <c r="S10" i="15" s="1"/>
  <c r="R9" i="15"/>
  <c r="S9" i="15" s="1"/>
  <c r="R8" i="15"/>
  <c r="S8" i="15" s="1"/>
  <c r="R7" i="15"/>
  <c r="S7" i="15" s="1"/>
  <c r="S6" i="15"/>
  <c r="R6" i="15"/>
  <c r="T74" i="14"/>
  <c r="T73" i="14"/>
  <c r="T72" i="14"/>
  <c r="T71" i="14"/>
  <c r="T70" i="14"/>
  <c r="T69" i="14"/>
  <c r="T68" i="14"/>
  <c r="T67" i="14"/>
  <c r="T66" i="14"/>
  <c r="T65" i="14"/>
  <c r="T64" i="14"/>
  <c r="T63" i="14"/>
  <c r="T62" i="14"/>
  <c r="T61" i="14"/>
  <c r="T60" i="14"/>
  <c r="T59" i="14"/>
  <c r="T58" i="14"/>
  <c r="T57" i="14"/>
  <c r="V56" i="14"/>
  <c r="D56" i="14"/>
  <c r="T56" i="14" s="1"/>
  <c r="V54" i="14"/>
  <c r="T54" i="14"/>
  <c r="V53" i="14"/>
  <c r="T53" i="14"/>
  <c r="V52" i="14"/>
  <c r="T52" i="14"/>
  <c r="V51" i="14"/>
  <c r="T51" i="14"/>
  <c r="V50" i="14"/>
  <c r="T50" i="14"/>
  <c r="V49" i="14"/>
  <c r="T49" i="14"/>
  <c r="V48" i="14"/>
  <c r="T48" i="14"/>
  <c r="V47" i="14"/>
  <c r="T47" i="14"/>
  <c r="V46" i="14"/>
  <c r="T46" i="14"/>
  <c r="V45" i="14"/>
  <c r="T45" i="14"/>
  <c r="V44" i="14"/>
  <c r="T44" i="14"/>
  <c r="V43" i="14"/>
  <c r="T43" i="14"/>
  <c r="V42" i="14"/>
  <c r="D42" i="14"/>
  <c r="T42" i="14" s="1"/>
  <c r="V40" i="14"/>
  <c r="T40" i="14"/>
  <c r="V39" i="14"/>
  <c r="T39" i="14"/>
  <c r="V38" i="14"/>
  <c r="T38" i="14"/>
  <c r="V37" i="14"/>
  <c r="T37" i="14"/>
  <c r="V36" i="14"/>
  <c r="T36" i="14"/>
  <c r="V35" i="14"/>
  <c r="T35" i="14"/>
  <c r="T34" i="14"/>
  <c r="V34" i="14"/>
  <c r="T32" i="14"/>
  <c r="M32" i="14"/>
  <c r="Q27" i="14"/>
  <c r="R43" i="16" s="1"/>
  <c r="P27" i="14"/>
  <c r="Q43" i="16" s="1"/>
  <c r="O27" i="14"/>
  <c r="K43" i="16" s="1"/>
  <c r="N27" i="14"/>
  <c r="O43" i="16" s="1"/>
  <c r="M27" i="14"/>
  <c r="I43" i="16" s="1"/>
  <c r="L27" i="14"/>
  <c r="P43" i="16" s="1"/>
  <c r="K27" i="14"/>
  <c r="G43" i="16" s="1"/>
  <c r="J27" i="14"/>
  <c r="F43" i="16" s="1"/>
  <c r="I27" i="14"/>
  <c r="E43" i="16" s="1"/>
  <c r="H27" i="14"/>
  <c r="D43" i="16" s="1"/>
  <c r="R26" i="14"/>
  <c r="S26" i="14" s="1"/>
  <c r="R25" i="14"/>
  <c r="S25" i="14" s="1"/>
  <c r="R24" i="14"/>
  <c r="S24" i="14" s="1"/>
  <c r="R23" i="14"/>
  <c r="S23" i="14" s="1"/>
  <c r="R22" i="14"/>
  <c r="S22" i="14" s="1"/>
  <c r="R21" i="14"/>
  <c r="S21" i="14" s="1"/>
  <c r="R20" i="14"/>
  <c r="S20" i="14" s="1"/>
  <c r="R19" i="14"/>
  <c r="S19" i="14" s="1"/>
  <c r="R18" i="14"/>
  <c r="S18" i="14" s="1"/>
  <c r="R17" i="14"/>
  <c r="S17" i="14" s="1"/>
  <c r="R16" i="14"/>
  <c r="S16" i="14" s="1"/>
  <c r="R15" i="14"/>
  <c r="S15" i="14" s="1"/>
  <c r="R14" i="14"/>
  <c r="S14" i="14" s="1"/>
  <c r="R13" i="14"/>
  <c r="S13" i="14" s="1"/>
  <c r="R12" i="14"/>
  <c r="S12" i="14" s="1"/>
  <c r="R11" i="14"/>
  <c r="S11" i="14" s="1"/>
  <c r="R10" i="14"/>
  <c r="S10" i="14" s="1"/>
  <c r="R9" i="14"/>
  <c r="S9" i="14" s="1"/>
  <c r="S8" i="14"/>
  <c r="R8" i="14"/>
  <c r="R70" i="13"/>
  <c r="T39" i="17" s="1"/>
  <c r="P70" i="13"/>
  <c r="P37" i="16" s="1"/>
  <c r="P55" i="16" s="1"/>
  <c r="O70" i="13"/>
  <c r="O39" i="16" s="1"/>
  <c r="N70" i="13"/>
  <c r="Q37" i="16" s="1"/>
  <c r="Q55" i="16" s="1"/>
  <c r="M70" i="13"/>
  <c r="L37" i="16" s="1"/>
  <c r="L55" i="16" s="1"/>
  <c r="L70" i="13"/>
  <c r="K37" i="16" s="1"/>
  <c r="K55" i="16" s="1"/>
  <c r="K70" i="13"/>
  <c r="J70" i="13"/>
  <c r="F37" i="16" s="1"/>
  <c r="F55" i="16" s="1"/>
  <c r="I70" i="13"/>
  <c r="E37" i="16" s="1"/>
  <c r="E55" i="16" s="1"/>
  <c r="H70" i="13"/>
  <c r="D39" i="17" s="1"/>
  <c r="Q68" i="13"/>
  <c r="S68" i="13" s="1"/>
  <c r="Q67" i="13"/>
  <c r="S67" i="13" s="1"/>
  <c r="Q66" i="13"/>
  <c r="S66" i="13" s="1"/>
  <c r="Q65" i="13"/>
  <c r="S65" i="13" s="1"/>
  <c r="Q64" i="13"/>
  <c r="S64" i="13" s="1"/>
  <c r="Q63" i="13"/>
  <c r="S63" i="13" s="1"/>
  <c r="Q62" i="13"/>
  <c r="S62" i="13" s="1"/>
  <c r="Q61" i="13"/>
  <c r="S61" i="13" s="1"/>
  <c r="Q60" i="13"/>
  <c r="S60" i="13" s="1"/>
  <c r="Q59" i="13"/>
  <c r="S59" i="13" s="1"/>
  <c r="Q58" i="13"/>
  <c r="S58" i="13" s="1"/>
  <c r="Q57" i="13"/>
  <c r="S57" i="13" s="1"/>
  <c r="Q56" i="13"/>
  <c r="S56" i="13" s="1"/>
  <c r="Q55" i="13"/>
  <c r="S55" i="13" s="1"/>
  <c r="Q54" i="13"/>
  <c r="S54" i="13" s="1"/>
  <c r="S53" i="13"/>
  <c r="D53" i="13"/>
  <c r="Q53" i="13" s="1"/>
  <c r="Q49" i="13"/>
  <c r="S49" i="13" s="1"/>
  <c r="Q48" i="13"/>
  <c r="S48" i="13" s="1"/>
  <c r="Q47" i="13"/>
  <c r="S47" i="13" s="1"/>
  <c r="Q46" i="13"/>
  <c r="S46" i="13" s="1"/>
  <c r="Q45" i="13"/>
  <c r="S45" i="13" s="1"/>
  <c r="Q44" i="13"/>
  <c r="S44" i="13" s="1"/>
  <c r="Q43" i="13"/>
  <c r="S43" i="13" s="1"/>
  <c r="Q42" i="13"/>
  <c r="S42" i="13" s="1"/>
  <c r="Q41" i="13"/>
  <c r="S41" i="13" s="1"/>
  <c r="Q40" i="13"/>
  <c r="S40" i="13" s="1"/>
  <c r="Q39" i="13"/>
  <c r="S39" i="13" s="1"/>
  <c r="Q38" i="13"/>
  <c r="S38" i="13" s="1"/>
  <c r="Q37" i="13"/>
  <c r="S37" i="13" s="1"/>
  <c r="Q36" i="13"/>
  <c r="S36" i="13" s="1"/>
  <c r="Q35" i="13"/>
  <c r="S35" i="13" s="1"/>
  <c r="Q34" i="13"/>
  <c r="S34" i="13" s="1"/>
  <c r="Q33" i="13"/>
  <c r="S33" i="13" s="1"/>
  <c r="Q32" i="13"/>
  <c r="S32" i="13" s="1"/>
  <c r="S31" i="13"/>
  <c r="Q31" i="13"/>
  <c r="Q29" i="13"/>
  <c r="S29" i="13" s="1"/>
  <c r="Q28" i="13"/>
  <c r="S28" i="13" s="1"/>
  <c r="Q27" i="13"/>
  <c r="S27" i="13" s="1"/>
  <c r="Q26" i="13"/>
  <c r="S26" i="13" s="1"/>
  <c r="Q25" i="13"/>
  <c r="S25" i="13" s="1"/>
  <c r="Q24" i="13"/>
  <c r="S24" i="13" s="1"/>
  <c r="Q23" i="13"/>
  <c r="S23" i="13" s="1"/>
  <c r="Q22" i="13"/>
  <c r="S22" i="13" s="1"/>
  <c r="Q21" i="13"/>
  <c r="S21" i="13" s="1"/>
  <c r="Q20" i="13"/>
  <c r="S20" i="13" s="1"/>
  <c r="Q19" i="13"/>
  <c r="S19" i="13" s="1"/>
  <c r="Q18" i="13"/>
  <c r="S18" i="13" s="1"/>
  <c r="Q17" i="13"/>
  <c r="S17" i="13" s="1"/>
  <c r="S16" i="13"/>
  <c r="D16" i="13"/>
  <c r="Q16" i="13" s="1"/>
  <c r="Q14" i="13"/>
  <c r="S14" i="13" s="1"/>
  <c r="Q13" i="13"/>
  <c r="S13" i="13" s="1"/>
  <c r="Q12" i="13"/>
  <c r="S12" i="13" s="1"/>
  <c r="Q11" i="13"/>
  <c r="S11" i="13" s="1"/>
  <c r="Q10" i="13"/>
  <c r="S10" i="13" s="1"/>
  <c r="Q9" i="13"/>
  <c r="S9" i="13" s="1"/>
  <c r="Q8" i="13"/>
  <c r="S8" i="13" s="1"/>
  <c r="Q7" i="13"/>
  <c r="S7" i="13" s="1"/>
  <c r="S6" i="13"/>
  <c r="Q6" i="13"/>
  <c r="Q31" i="16"/>
  <c r="P31" i="16"/>
  <c r="O31" i="16"/>
  <c r="N31" i="16"/>
  <c r="M31" i="16"/>
  <c r="L31" i="16"/>
  <c r="J33" i="17"/>
  <c r="I33" i="17"/>
  <c r="H33" i="17"/>
  <c r="G33" i="17"/>
  <c r="F31" i="16"/>
  <c r="E31" i="16"/>
  <c r="D31" i="16"/>
  <c r="U63" i="12"/>
  <c r="X63" i="12" s="1"/>
  <c r="U62" i="12"/>
  <c r="W62" i="12" s="1"/>
  <c r="U61" i="12"/>
  <c r="X61" i="12" s="1"/>
  <c r="U60" i="12"/>
  <c r="X60" i="12" s="1"/>
  <c r="U59" i="12"/>
  <c r="W59" i="12" s="1"/>
  <c r="U58" i="12"/>
  <c r="X58" i="12" s="1"/>
  <c r="U57" i="12"/>
  <c r="X57" i="12" s="1"/>
  <c r="U56" i="12"/>
  <c r="W56" i="12" s="1"/>
  <c r="U55" i="12"/>
  <c r="U54" i="12"/>
  <c r="U53" i="12"/>
  <c r="X53" i="12" s="1"/>
  <c r="U52" i="12"/>
  <c r="V52" i="12" s="1"/>
  <c r="U51" i="12"/>
  <c r="X51" i="12" s="1"/>
  <c r="U50" i="12"/>
  <c r="X50" i="12" s="1"/>
  <c r="U49" i="12"/>
  <c r="V49" i="12" s="1"/>
  <c r="U48" i="12"/>
  <c r="X48" i="12" s="1"/>
  <c r="U47" i="12"/>
  <c r="X47" i="12" s="1"/>
  <c r="U46" i="12"/>
  <c r="V46" i="12" s="1"/>
  <c r="U45" i="12"/>
  <c r="X45" i="12" s="1"/>
  <c r="U44" i="12"/>
  <c r="X44" i="12" s="1"/>
  <c r="U43" i="12"/>
  <c r="W43" i="12" s="1"/>
  <c r="U42" i="12"/>
  <c r="X42" i="12" s="1"/>
  <c r="U41" i="12"/>
  <c r="X41" i="12" s="1"/>
  <c r="U40" i="12"/>
  <c r="V40" i="12" s="1"/>
  <c r="U39" i="12"/>
  <c r="X39" i="12" s="1"/>
  <c r="U38" i="12"/>
  <c r="X38" i="12" s="1"/>
  <c r="X37" i="12"/>
  <c r="W37" i="12"/>
  <c r="U37" i="12"/>
  <c r="V37" i="12" s="1"/>
  <c r="U36" i="12"/>
  <c r="X36" i="12" s="1"/>
  <c r="U35" i="12"/>
  <c r="X35" i="12" s="1"/>
  <c r="U34" i="12"/>
  <c r="X34" i="12" s="1"/>
  <c r="U33" i="12"/>
  <c r="X33" i="12" s="1"/>
  <c r="U32" i="12"/>
  <c r="X32" i="12" s="1"/>
  <c r="U31" i="12"/>
  <c r="V31" i="12" s="1"/>
  <c r="U30" i="12"/>
  <c r="X30" i="12" s="1"/>
  <c r="U29" i="12"/>
  <c r="X29" i="12" s="1"/>
  <c r="U28" i="12"/>
  <c r="V28" i="12" s="1"/>
  <c r="U27" i="12"/>
  <c r="X27" i="12" s="1"/>
  <c r="U26" i="12"/>
  <c r="N31" i="17"/>
  <c r="F29" i="16"/>
  <c r="U21" i="12"/>
  <c r="X21" i="12" s="1"/>
  <c r="U20" i="12"/>
  <c r="U19" i="12"/>
  <c r="W19" i="12" s="1"/>
  <c r="U18" i="12"/>
  <c r="X18" i="12" s="1"/>
  <c r="U17" i="12"/>
  <c r="U16" i="12"/>
  <c r="W16" i="12" s="1"/>
  <c r="U15" i="12"/>
  <c r="X15" i="12" s="1"/>
  <c r="U14" i="12"/>
  <c r="U13" i="12"/>
  <c r="W13" i="12" s="1"/>
  <c r="U12" i="12"/>
  <c r="X12" i="12" s="1"/>
  <c r="U11" i="12"/>
  <c r="U10" i="12"/>
  <c r="W10" i="12" s="1"/>
  <c r="U9" i="12"/>
  <c r="X9" i="12" s="1"/>
  <c r="U8" i="12"/>
  <c r="L27" i="16"/>
  <c r="H29" i="17"/>
  <c r="U39" i="11"/>
  <c r="X39" i="11" s="1"/>
  <c r="U38" i="11"/>
  <c r="W38" i="11" s="1"/>
  <c r="U37" i="11"/>
  <c r="X37" i="11" s="1"/>
  <c r="U36" i="11"/>
  <c r="X36" i="11" s="1"/>
  <c r="U35" i="11"/>
  <c r="W35" i="11" s="1"/>
  <c r="U34" i="11"/>
  <c r="X34" i="11" s="1"/>
  <c r="U33" i="11"/>
  <c r="X33" i="11" s="1"/>
  <c r="U32" i="11"/>
  <c r="W32" i="11" s="1"/>
  <c r="U31" i="11"/>
  <c r="X31" i="11" s="1"/>
  <c r="U30" i="11"/>
  <c r="X30" i="11" s="1"/>
  <c r="U29" i="11"/>
  <c r="W29" i="11" s="1"/>
  <c r="U28" i="11"/>
  <c r="X28" i="11" s="1"/>
  <c r="U27" i="11"/>
  <c r="X27" i="11" s="1"/>
  <c r="V26" i="11"/>
  <c r="U26" i="11"/>
  <c r="W26" i="11" s="1"/>
  <c r="U24" i="11"/>
  <c r="X24" i="11" s="1"/>
  <c r="U23" i="11"/>
  <c r="X23" i="11" s="1"/>
  <c r="U22" i="11"/>
  <c r="W22" i="11" s="1"/>
  <c r="U21" i="11"/>
  <c r="X21" i="11" s="1"/>
  <c r="U20" i="11"/>
  <c r="X20" i="11" s="1"/>
  <c r="U19" i="11"/>
  <c r="W19" i="11" s="1"/>
  <c r="U18" i="11"/>
  <c r="X18" i="11" s="1"/>
  <c r="U17" i="11"/>
  <c r="X17" i="11" s="1"/>
  <c r="U16" i="11"/>
  <c r="X16" i="11" s="1"/>
  <c r="U15" i="11"/>
  <c r="X15" i="11" s="1"/>
  <c r="U14" i="11"/>
  <c r="X14" i="11" s="1"/>
  <c r="U13" i="11"/>
  <c r="V13" i="11" s="1"/>
  <c r="U12" i="11"/>
  <c r="X12" i="11" s="1"/>
  <c r="U11" i="11"/>
  <c r="X11" i="11" s="1"/>
  <c r="U10" i="11"/>
  <c r="W10" i="11" s="1"/>
  <c r="U9" i="11"/>
  <c r="X9" i="11" s="1"/>
  <c r="U8" i="11"/>
  <c r="U7" i="11"/>
  <c r="V7" i="11" s="1"/>
  <c r="U6" i="11"/>
  <c r="N27" i="17"/>
  <c r="U29" i="10"/>
  <c r="V29" i="10" s="1"/>
  <c r="U28" i="10"/>
  <c r="X28" i="10" s="1"/>
  <c r="U27" i="10"/>
  <c r="W27" i="10" s="1"/>
  <c r="U26" i="10"/>
  <c r="V26" i="10" s="1"/>
  <c r="U25" i="10"/>
  <c r="X25" i="10" s="1"/>
  <c r="U24" i="10"/>
  <c r="W23" i="10"/>
  <c r="U23" i="10"/>
  <c r="V23" i="10" s="1"/>
  <c r="U22" i="10"/>
  <c r="X22" i="10" s="1"/>
  <c r="U21" i="10"/>
  <c r="W21" i="10" s="1"/>
  <c r="U20" i="10"/>
  <c r="V20" i="10" s="1"/>
  <c r="V19" i="10"/>
  <c r="U19" i="10"/>
  <c r="X19" i="10" s="1"/>
  <c r="U18" i="10"/>
  <c r="U17" i="10"/>
  <c r="V17" i="10" s="1"/>
  <c r="U16" i="10"/>
  <c r="X16" i="10" s="1"/>
  <c r="U15" i="10"/>
  <c r="U14" i="10"/>
  <c r="V14" i="10" s="1"/>
  <c r="U13" i="10"/>
  <c r="X13" i="10" s="1"/>
  <c r="U12" i="10"/>
  <c r="W12" i="10" s="1"/>
  <c r="U11" i="10"/>
  <c r="V11" i="10" s="1"/>
  <c r="U10" i="10"/>
  <c r="X10" i="10" s="1"/>
  <c r="U9" i="10"/>
  <c r="U8" i="10"/>
  <c r="V8" i="10" s="1"/>
  <c r="V7" i="10"/>
  <c r="U7" i="10"/>
  <c r="X7" i="10" s="1"/>
  <c r="N15" i="17"/>
  <c r="F13" i="16"/>
  <c r="U18" i="9"/>
  <c r="X18" i="9" s="1"/>
  <c r="U17" i="9"/>
  <c r="X17" i="9" s="1"/>
  <c r="U16" i="9"/>
  <c r="X16" i="9" s="1"/>
  <c r="U15" i="9"/>
  <c r="V15" i="9" s="1"/>
  <c r="U14" i="9"/>
  <c r="X14" i="9" s="1"/>
  <c r="U13" i="9"/>
  <c r="X13" i="9" s="1"/>
  <c r="U12" i="9"/>
  <c r="V12" i="9" s="1"/>
  <c r="U11" i="9"/>
  <c r="X11" i="9" s="1"/>
  <c r="U10" i="9"/>
  <c r="X10" i="9" s="1"/>
  <c r="U9" i="9"/>
  <c r="V9" i="9" s="1"/>
  <c r="U8" i="9"/>
  <c r="X8" i="9" s="1"/>
  <c r="U7" i="9"/>
  <c r="X7" i="9" s="1"/>
  <c r="T36" i="8"/>
  <c r="S36" i="8"/>
  <c r="R36" i="8"/>
  <c r="Q36" i="8"/>
  <c r="P36" i="8"/>
  <c r="O36" i="8"/>
  <c r="L23" i="16" s="1"/>
  <c r="N36" i="8"/>
  <c r="M36" i="8"/>
  <c r="L36" i="8"/>
  <c r="K36" i="8"/>
  <c r="J36" i="8"/>
  <c r="I36" i="8"/>
  <c r="H36" i="8"/>
  <c r="G36" i="8"/>
  <c r="U35" i="8"/>
  <c r="X35" i="8" s="1"/>
  <c r="U34" i="8"/>
  <c r="W34" i="8" s="1"/>
  <c r="U33" i="8"/>
  <c r="X33" i="8" s="1"/>
  <c r="U32" i="8"/>
  <c r="X32" i="8" s="1"/>
  <c r="U31" i="8"/>
  <c r="W31" i="8" s="1"/>
  <c r="U30" i="8"/>
  <c r="X30" i="8" s="1"/>
  <c r="U29" i="8"/>
  <c r="X29" i="8" s="1"/>
  <c r="U28" i="8"/>
  <c r="W28" i="8" s="1"/>
  <c r="U27" i="8"/>
  <c r="X27" i="8" s="1"/>
  <c r="U26" i="8"/>
  <c r="X26" i="8" s="1"/>
  <c r="U25" i="8"/>
  <c r="W25" i="8" s="1"/>
  <c r="U24" i="8"/>
  <c r="X24" i="8" s="1"/>
  <c r="U23" i="8"/>
  <c r="X23" i="8" s="1"/>
  <c r="U22" i="8"/>
  <c r="W22" i="8" s="1"/>
  <c r="U21" i="8"/>
  <c r="X21" i="8" s="1"/>
  <c r="U20" i="8"/>
  <c r="X20" i="8" s="1"/>
  <c r="U19" i="8"/>
  <c r="W19" i="8" s="1"/>
  <c r="U18" i="8"/>
  <c r="X18" i="8" s="1"/>
  <c r="U17" i="8"/>
  <c r="X17" i="8" s="1"/>
  <c r="U16" i="8"/>
  <c r="X16" i="8" s="1"/>
  <c r="U15" i="8"/>
  <c r="X15" i="8" s="1"/>
  <c r="U14" i="8"/>
  <c r="X14" i="8" s="1"/>
  <c r="U13" i="8"/>
  <c r="X13" i="8" s="1"/>
  <c r="U12" i="8"/>
  <c r="X12" i="8" s="1"/>
  <c r="U11" i="8"/>
  <c r="X11" i="8" s="1"/>
  <c r="U10" i="8"/>
  <c r="W10" i="8" s="1"/>
  <c r="U9" i="8"/>
  <c r="X9" i="8" s="1"/>
  <c r="U8" i="8"/>
  <c r="X8" i="8" s="1"/>
  <c r="U7" i="8"/>
  <c r="X7" i="8" s="1"/>
  <c r="U6" i="8"/>
  <c r="X6" i="8" s="1"/>
  <c r="U27" i="7"/>
  <c r="X27" i="7" s="1"/>
  <c r="U26" i="7"/>
  <c r="X26" i="7" s="1"/>
  <c r="U25" i="7"/>
  <c r="U24" i="7"/>
  <c r="X24" i="7" s="1"/>
  <c r="U23" i="7"/>
  <c r="X23" i="7" s="1"/>
  <c r="U22" i="7"/>
  <c r="U21" i="7"/>
  <c r="X21" i="7" s="1"/>
  <c r="U20" i="7"/>
  <c r="X20" i="7" s="1"/>
  <c r="U19" i="7"/>
  <c r="U18" i="7"/>
  <c r="X18" i="7" s="1"/>
  <c r="U17" i="7"/>
  <c r="X17" i="7" s="1"/>
  <c r="U16" i="7"/>
  <c r="U15" i="7"/>
  <c r="X15" i="7" s="1"/>
  <c r="U14" i="7"/>
  <c r="X14" i="7" s="1"/>
  <c r="U13" i="7"/>
  <c r="U12" i="7"/>
  <c r="X12" i="7" s="1"/>
  <c r="U11" i="7"/>
  <c r="X11" i="7" s="1"/>
  <c r="U10" i="7"/>
  <c r="U7" i="7"/>
  <c r="F21" i="16"/>
  <c r="T15" i="6"/>
  <c r="V15" i="6" s="1"/>
  <c r="W15" i="6"/>
  <c r="T14" i="6"/>
  <c r="W14" i="6" s="1"/>
  <c r="T13" i="6"/>
  <c r="T12" i="6"/>
  <c r="W12" i="6" s="1"/>
  <c r="T11" i="6"/>
  <c r="W11" i="6" s="1"/>
  <c r="T10" i="6"/>
  <c r="T9" i="6"/>
  <c r="W9" i="6" s="1"/>
  <c r="T8" i="6"/>
  <c r="W8" i="6" s="1"/>
  <c r="T7" i="6"/>
  <c r="T6" i="6"/>
  <c r="V6" i="6" s="1"/>
  <c r="N11" i="17"/>
  <c r="F9" i="16"/>
  <c r="U45" i="5"/>
  <c r="X45" i="5" s="1"/>
  <c r="U44" i="5"/>
  <c r="V44" i="5" s="1"/>
  <c r="U43" i="5"/>
  <c r="X43" i="5" s="1"/>
  <c r="U42" i="5"/>
  <c r="V42" i="5" s="1"/>
  <c r="U41" i="5"/>
  <c r="W41" i="5" s="1"/>
  <c r="U40" i="5"/>
  <c r="X40" i="5" s="1"/>
  <c r="U39" i="5"/>
  <c r="V39" i="5" s="1"/>
  <c r="U38" i="5"/>
  <c r="W38" i="5" s="1"/>
  <c r="U37" i="5"/>
  <c r="X37" i="5" s="1"/>
  <c r="U36" i="5"/>
  <c r="L7" i="16"/>
  <c r="U30" i="5"/>
  <c r="X30" i="5" s="1"/>
  <c r="U29" i="5"/>
  <c r="W29" i="5" s="1"/>
  <c r="U28" i="5"/>
  <c r="V28" i="5" s="1"/>
  <c r="U27" i="5"/>
  <c r="X27" i="5" s="1"/>
  <c r="U26" i="5"/>
  <c r="X26" i="5" s="1"/>
  <c r="U25" i="5"/>
  <c r="V25" i="5" s="1"/>
  <c r="U24" i="5"/>
  <c r="X24" i="5" s="1"/>
  <c r="U23" i="5"/>
  <c r="V23" i="5" s="1"/>
  <c r="U22" i="5"/>
  <c r="V22" i="5" s="1"/>
  <c r="U21" i="5"/>
  <c r="X21" i="5" s="1"/>
  <c r="U20" i="5"/>
  <c r="X20" i="5" s="1"/>
  <c r="U19" i="5"/>
  <c r="X19" i="5" s="1"/>
  <c r="U18" i="5"/>
  <c r="N7" i="17"/>
  <c r="U13" i="5"/>
  <c r="V13" i="5" s="1"/>
  <c r="U12" i="5"/>
  <c r="X12" i="5" s="1"/>
  <c r="U11" i="5"/>
  <c r="W11" i="5" s="1"/>
  <c r="U10" i="5"/>
  <c r="V10" i="5" s="1"/>
  <c r="U9" i="5"/>
  <c r="U8" i="5"/>
  <c r="X8" i="5" s="1"/>
  <c r="U7" i="5"/>
  <c r="W7" i="5" s="1"/>
  <c r="H21" i="17"/>
  <c r="U16" i="4"/>
  <c r="V16" i="4" s="1"/>
  <c r="U15" i="4"/>
  <c r="X15" i="4" s="1"/>
  <c r="U14" i="4"/>
  <c r="X14" i="4" s="1"/>
  <c r="U13" i="4"/>
  <c r="W13" i="4" s="1"/>
  <c r="U12" i="4"/>
  <c r="X12" i="4" s="1"/>
  <c r="U11" i="4"/>
  <c r="W11" i="4" s="1"/>
  <c r="U10" i="4"/>
  <c r="W10" i="4" s="1"/>
  <c r="U9" i="4"/>
  <c r="X9" i="4" s="1"/>
  <c r="U8" i="4"/>
  <c r="W8" i="4" s="1"/>
  <c r="U7" i="4"/>
  <c r="U6" i="4"/>
  <c r="F17" i="16"/>
  <c r="U35" i="3"/>
  <c r="X35" i="3" s="1"/>
  <c r="U34" i="3"/>
  <c r="X34" i="3" s="1"/>
  <c r="U33" i="3"/>
  <c r="U32" i="3"/>
  <c r="X32" i="3" s="1"/>
  <c r="U31" i="3"/>
  <c r="W31" i="3" s="1"/>
  <c r="U30" i="3"/>
  <c r="U29" i="3"/>
  <c r="X29" i="3" s="1"/>
  <c r="U28" i="3"/>
  <c r="V28" i="3" s="1"/>
  <c r="U27" i="3"/>
  <c r="V27" i="3" s="1"/>
  <c r="U26" i="3"/>
  <c r="X26" i="3" s="1"/>
  <c r="U25" i="3"/>
  <c r="X25" i="3" s="1"/>
  <c r="U24" i="3"/>
  <c r="U23" i="3"/>
  <c r="X23" i="3" s="1"/>
  <c r="U22" i="3"/>
  <c r="H17" i="17"/>
  <c r="U18" i="3"/>
  <c r="X18" i="3" s="1"/>
  <c r="U17" i="3"/>
  <c r="W17" i="3" s="1"/>
  <c r="U15" i="3"/>
  <c r="V15" i="3" s="1"/>
  <c r="U14" i="3"/>
  <c r="X14" i="3" s="1"/>
  <c r="U13" i="3"/>
  <c r="X13" i="3" s="1"/>
  <c r="U12" i="3"/>
  <c r="V12" i="3" s="1"/>
  <c r="U11" i="3"/>
  <c r="X11" i="3" s="1"/>
  <c r="U10" i="3"/>
  <c r="X10" i="3" s="1"/>
  <c r="U9" i="3"/>
  <c r="V9" i="3" s="1"/>
  <c r="U8" i="3"/>
  <c r="X8" i="3" s="1"/>
  <c r="U7" i="3"/>
  <c r="U6" i="3"/>
  <c r="V6" i="3" s="1"/>
  <c r="H13" i="17"/>
  <c r="U19" i="2"/>
  <c r="X19" i="2" s="1"/>
  <c r="U18" i="2"/>
  <c r="X18" i="2" s="1"/>
  <c r="U17" i="2"/>
  <c r="X17" i="2" s="1"/>
  <c r="U16" i="2"/>
  <c r="X16" i="2" s="1"/>
  <c r="U15" i="2"/>
  <c r="V15" i="2" s="1"/>
  <c r="U14" i="2"/>
  <c r="X14" i="2" s="1"/>
  <c r="U13" i="2"/>
  <c r="X13" i="2" s="1"/>
  <c r="U12" i="2"/>
  <c r="W12" i="2" s="1"/>
  <c r="U11" i="2"/>
  <c r="X11" i="2" s="1"/>
  <c r="U10" i="2"/>
  <c r="X10" i="2" s="1"/>
  <c r="U9" i="2"/>
  <c r="X9" i="2" s="1"/>
  <c r="U8" i="2"/>
  <c r="X8" i="2" s="1"/>
  <c r="U7" i="2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V7" i="1"/>
  <c r="U7" i="1"/>
  <c r="X7" i="1" s="1"/>
  <c r="V6" i="1"/>
  <c r="U6" i="1"/>
  <c r="X6" i="1" s="1"/>
  <c r="X8" i="1" s="1"/>
  <c r="V59" i="16" l="1"/>
  <c r="V38" i="11"/>
  <c r="X38" i="11"/>
  <c r="X6" i="11"/>
  <c r="U40" i="11"/>
  <c r="V7" i="7"/>
  <c r="V8" i="1"/>
  <c r="W7" i="1"/>
  <c r="S75" i="15"/>
  <c r="V33" i="15"/>
  <c r="I75" i="15"/>
  <c r="R25" i="15"/>
  <c r="T45" i="16" s="1"/>
  <c r="V59" i="14"/>
  <c r="V65" i="14"/>
  <c r="V71" i="14"/>
  <c r="V60" i="14"/>
  <c r="V61" i="14"/>
  <c r="V67" i="14"/>
  <c r="V73" i="14"/>
  <c r="V66" i="14"/>
  <c r="V72" i="14"/>
  <c r="V62" i="14"/>
  <c r="V68" i="14"/>
  <c r="V74" i="14"/>
  <c r="V57" i="14"/>
  <c r="V63" i="14"/>
  <c r="V69" i="14"/>
  <c r="V58" i="14"/>
  <c r="V64" i="14"/>
  <c r="V70" i="14"/>
  <c r="R57" i="16"/>
  <c r="U22" i="12"/>
  <c r="U64" i="12"/>
  <c r="S31" i="16" s="1"/>
  <c r="X13" i="12"/>
  <c r="V43" i="12"/>
  <c r="X43" i="12"/>
  <c r="W49" i="12"/>
  <c r="W31" i="12"/>
  <c r="X10" i="12"/>
  <c r="X31" i="12"/>
  <c r="X19" i="12"/>
  <c r="X49" i="12"/>
  <c r="X56" i="12"/>
  <c r="V62" i="12"/>
  <c r="X62" i="12"/>
  <c r="V57" i="12"/>
  <c r="W28" i="12"/>
  <c r="W34" i="12"/>
  <c r="W40" i="12"/>
  <c r="W46" i="12"/>
  <c r="W52" i="12"/>
  <c r="V59" i="12"/>
  <c r="X16" i="12"/>
  <c r="V34" i="12"/>
  <c r="X28" i="12"/>
  <c r="X40" i="12"/>
  <c r="X46" i="12"/>
  <c r="X52" i="12"/>
  <c r="X59" i="12"/>
  <c r="V56" i="12"/>
  <c r="X19" i="11"/>
  <c r="V32" i="11"/>
  <c r="X26" i="11"/>
  <c r="W13" i="11"/>
  <c r="X13" i="11"/>
  <c r="W7" i="11"/>
  <c r="X32" i="11"/>
  <c r="X7" i="11"/>
  <c r="V19" i="11"/>
  <c r="V10" i="11"/>
  <c r="V16" i="11"/>
  <c r="V22" i="11"/>
  <c r="V29" i="11"/>
  <c r="V35" i="11"/>
  <c r="W16" i="11"/>
  <c r="X10" i="11"/>
  <c r="X22" i="11"/>
  <c r="X29" i="11"/>
  <c r="X35" i="11"/>
  <c r="S27" i="16"/>
  <c r="H27" i="16"/>
  <c r="X26" i="10"/>
  <c r="V10" i="10"/>
  <c r="W20" i="10"/>
  <c r="V13" i="10"/>
  <c r="W14" i="10"/>
  <c r="V22" i="10"/>
  <c r="W29" i="10"/>
  <c r="V16" i="10"/>
  <c r="X23" i="10"/>
  <c r="W11" i="10"/>
  <c r="W17" i="10"/>
  <c r="V28" i="10"/>
  <c r="X11" i="10"/>
  <c r="X17" i="10"/>
  <c r="X29" i="10"/>
  <c r="V25" i="10"/>
  <c r="W8" i="10"/>
  <c r="X8" i="10"/>
  <c r="X14" i="10"/>
  <c r="X20" i="10"/>
  <c r="W26" i="10"/>
  <c r="N25" i="16"/>
  <c r="X9" i="9"/>
  <c r="W12" i="9"/>
  <c r="X12" i="9"/>
  <c r="X15" i="9"/>
  <c r="F15" i="17"/>
  <c r="U15" i="6"/>
  <c r="T16" i="6"/>
  <c r="X10" i="8"/>
  <c r="X22" i="8"/>
  <c r="W13" i="8"/>
  <c r="W7" i="8"/>
  <c r="V22" i="8"/>
  <c r="X19" i="8"/>
  <c r="V16" i="8"/>
  <c r="W16" i="8"/>
  <c r="V34" i="8"/>
  <c r="V10" i="8"/>
  <c r="V25" i="8"/>
  <c r="V21" i="7"/>
  <c r="W7" i="7"/>
  <c r="W18" i="7"/>
  <c r="X7" i="7"/>
  <c r="W21" i="7"/>
  <c r="V27" i="7"/>
  <c r="W12" i="7"/>
  <c r="V15" i="7"/>
  <c r="S33" i="16"/>
  <c r="W15" i="7"/>
  <c r="W24" i="7"/>
  <c r="W6" i="6"/>
  <c r="U12" i="6"/>
  <c r="V12" i="6"/>
  <c r="U6" i="6"/>
  <c r="W27" i="5"/>
  <c r="W28" i="5"/>
  <c r="X7" i="5"/>
  <c r="W22" i="5"/>
  <c r="X22" i="5"/>
  <c r="V27" i="5"/>
  <c r="W13" i="5"/>
  <c r="V19" i="5"/>
  <c r="V41" i="5"/>
  <c r="X41" i="5"/>
  <c r="X25" i="5"/>
  <c r="X44" i="5"/>
  <c r="W25" i="5"/>
  <c r="V38" i="5"/>
  <c r="X38" i="5"/>
  <c r="X10" i="5"/>
  <c r="V24" i="5"/>
  <c r="X11" i="5"/>
  <c r="X28" i="5"/>
  <c r="W10" i="5"/>
  <c r="V12" i="5"/>
  <c r="X29" i="5"/>
  <c r="V7" i="5"/>
  <c r="W12" i="5"/>
  <c r="V21" i="5"/>
  <c r="V45" i="5"/>
  <c r="W21" i="5"/>
  <c r="V26" i="5"/>
  <c r="V30" i="5"/>
  <c r="W26" i="5"/>
  <c r="W30" i="5"/>
  <c r="W24" i="5"/>
  <c r="X13" i="5"/>
  <c r="V12" i="4"/>
  <c r="U19" i="3"/>
  <c r="X22" i="3"/>
  <c r="U36" i="3"/>
  <c r="W15" i="2"/>
  <c r="U20" i="2"/>
  <c r="V18" i="2"/>
  <c r="X15" i="2"/>
  <c r="V16" i="2"/>
  <c r="V9" i="2"/>
  <c r="V7" i="2"/>
  <c r="X12" i="2"/>
  <c r="W9" i="4"/>
  <c r="V14" i="4"/>
  <c r="V15" i="4"/>
  <c r="V11" i="4"/>
  <c r="V9" i="4"/>
  <c r="S19" i="16"/>
  <c r="X11" i="4"/>
  <c r="X16" i="4"/>
  <c r="V8" i="4"/>
  <c r="W12" i="4"/>
  <c r="X8" i="4"/>
  <c r="V11" i="3"/>
  <c r="V23" i="3"/>
  <c r="V10" i="2"/>
  <c r="V12" i="2"/>
  <c r="R13" i="17"/>
  <c r="W18" i="2"/>
  <c r="V13" i="2"/>
  <c r="W9" i="2"/>
  <c r="V19" i="2"/>
  <c r="X31" i="3"/>
  <c r="V26" i="3"/>
  <c r="V32" i="3"/>
  <c r="W26" i="3"/>
  <c r="W32" i="3"/>
  <c r="W34" i="3"/>
  <c r="W25" i="3"/>
  <c r="V22" i="3"/>
  <c r="W22" i="3"/>
  <c r="V29" i="3"/>
  <c r="X17" i="3"/>
  <c r="W23" i="3"/>
  <c r="V18" i="3"/>
  <c r="W18" i="3"/>
  <c r="X28" i="3"/>
  <c r="V25" i="3"/>
  <c r="V34" i="3"/>
  <c r="W28" i="3"/>
  <c r="W9" i="3"/>
  <c r="X9" i="3"/>
  <c r="V31" i="3"/>
  <c r="V8" i="3"/>
  <c r="W8" i="3"/>
  <c r="W9" i="9"/>
  <c r="W15" i="9"/>
  <c r="V10" i="9"/>
  <c r="V16" i="9"/>
  <c r="V18" i="9"/>
  <c r="W18" i="9"/>
  <c r="V7" i="9"/>
  <c r="V13" i="9"/>
  <c r="G32" i="14"/>
  <c r="V32" i="14" s="1"/>
  <c r="O75" i="14"/>
  <c r="I39" i="16" s="1"/>
  <c r="R27" i="14"/>
  <c r="T43" i="16" s="1"/>
  <c r="L75" i="14"/>
  <c r="U37" i="16"/>
  <c r="U55" i="16" s="1"/>
  <c r="F39" i="17"/>
  <c r="S11" i="16"/>
  <c r="U37" i="17"/>
  <c r="V35" i="16"/>
  <c r="S37" i="17"/>
  <c r="T35" i="16"/>
  <c r="I13" i="17"/>
  <c r="I11" i="16"/>
  <c r="N35" i="17"/>
  <c r="N33" i="16"/>
  <c r="V14" i="3"/>
  <c r="X14" i="12"/>
  <c r="W14" i="12"/>
  <c r="V14" i="12"/>
  <c r="F35" i="16"/>
  <c r="F37" i="17"/>
  <c r="U8" i="1"/>
  <c r="N15" i="16"/>
  <c r="N17" i="17"/>
  <c r="I5" i="16"/>
  <c r="I7" i="17"/>
  <c r="X27" i="10"/>
  <c r="V27" i="10"/>
  <c r="J13" i="17"/>
  <c r="J11" i="16"/>
  <c r="I37" i="17"/>
  <c r="I35" i="16"/>
  <c r="W6" i="3"/>
  <c r="W14" i="3"/>
  <c r="X33" i="3"/>
  <c r="W33" i="3"/>
  <c r="V33" i="3"/>
  <c r="W6" i="4"/>
  <c r="W23" i="5"/>
  <c r="K9" i="16"/>
  <c r="K11" i="17"/>
  <c r="W7" i="6"/>
  <c r="V7" i="6"/>
  <c r="U7" i="6"/>
  <c r="W13" i="6"/>
  <c r="V13" i="6"/>
  <c r="U13" i="6"/>
  <c r="D35" i="17"/>
  <c r="D33" i="16"/>
  <c r="P35" i="17"/>
  <c r="P33" i="16"/>
  <c r="V31" i="8"/>
  <c r="H25" i="17"/>
  <c r="H23" i="16"/>
  <c r="X18" i="10"/>
  <c r="V18" i="10"/>
  <c r="G29" i="16"/>
  <c r="G31" i="17"/>
  <c r="H37" i="17"/>
  <c r="H35" i="16"/>
  <c r="V6" i="4"/>
  <c r="O35" i="17"/>
  <c r="O33" i="16"/>
  <c r="W6" i="1"/>
  <c r="W8" i="1" s="1"/>
  <c r="J37" i="17"/>
  <c r="J35" i="16"/>
  <c r="L11" i="16"/>
  <c r="L13" i="17"/>
  <c r="X6" i="3"/>
  <c r="F15" i="16"/>
  <c r="F17" i="17"/>
  <c r="X6" i="4"/>
  <c r="K19" i="16"/>
  <c r="K21" i="17"/>
  <c r="V8" i="5"/>
  <c r="V20" i="5"/>
  <c r="X23" i="5"/>
  <c r="X39" i="5"/>
  <c r="W39" i="5"/>
  <c r="L9" i="16"/>
  <c r="L11" i="17"/>
  <c r="J21" i="16"/>
  <c r="J23" i="17"/>
  <c r="X10" i="7"/>
  <c r="W10" i="7"/>
  <c r="V10" i="7"/>
  <c r="X16" i="7"/>
  <c r="W16" i="7"/>
  <c r="V16" i="7"/>
  <c r="X22" i="7"/>
  <c r="W22" i="7"/>
  <c r="V22" i="7"/>
  <c r="E33" i="16"/>
  <c r="E35" i="17"/>
  <c r="Q33" i="16"/>
  <c r="Q35" i="17"/>
  <c r="X31" i="8"/>
  <c r="I25" i="17"/>
  <c r="I23" i="16"/>
  <c r="W18" i="10"/>
  <c r="H29" i="16"/>
  <c r="H31" i="17"/>
  <c r="K35" i="16"/>
  <c r="K37" i="17"/>
  <c r="M11" i="16"/>
  <c r="M13" i="17"/>
  <c r="W7" i="3"/>
  <c r="V7" i="3"/>
  <c r="G17" i="17"/>
  <c r="G15" i="16"/>
  <c r="J17" i="16"/>
  <c r="J19" i="17"/>
  <c r="X7" i="4"/>
  <c r="V7" i="4"/>
  <c r="L19" i="16"/>
  <c r="L21" i="17"/>
  <c r="X9" i="5"/>
  <c r="V9" i="5"/>
  <c r="W20" i="5"/>
  <c r="M11" i="17"/>
  <c r="M9" i="16"/>
  <c r="K21" i="16"/>
  <c r="K23" i="17"/>
  <c r="F33" i="16"/>
  <c r="F35" i="17"/>
  <c r="X24" i="10"/>
  <c r="V24" i="10"/>
  <c r="R21" i="17"/>
  <c r="X12" i="10"/>
  <c r="V12" i="10"/>
  <c r="L35" i="16"/>
  <c r="L37" i="17"/>
  <c r="W7" i="2"/>
  <c r="W10" i="2"/>
  <c r="W13" i="2"/>
  <c r="W16" i="2"/>
  <c r="W19" i="2"/>
  <c r="N11" i="16"/>
  <c r="N13" i="17"/>
  <c r="X7" i="3"/>
  <c r="W11" i="3"/>
  <c r="W15" i="3"/>
  <c r="W29" i="3"/>
  <c r="K17" i="16"/>
  <c r="K19" i="17"/>
  <c r="W7" i="4"/>
  <c r="M19" i="16"/>
  <c r="M21" i="17"/>
  <c r="O7" i="17"/>
  <c r="O5" i="16"/>
  <c r="W45" i="5"/>
  <c r="U9" i="6"/>
  <c r="L21" i="16"/>
  <c r="L23" i="17"/>
  <c r="X25" i="8"/>
  <c r="K23" i="16"/>
  <c r="K25" i="17"/>
  <c r="X9" i="10"/>
  <c r="V9" i="10"/>
  <c r="W24" i="10"/>
  <c r="O27" i="17"/>
  <c r="O25" i="16"/>
  <c r="X8" i="12"/>
  <c r="W8" i="12"/>
  <c r="V8" i="12"/>
  <c r="X17" i="12"/>
  <c r="W17" i="12"/>
  <c r="V17" i="12"/>
  <c r="X24" i="3"/>
  <c r="W24" i="3"/>
  <c r="W10" i="3"/>
  <c r="V10" i="3"/>
  <c r="D15" i="16"/>
  <c r="D17" i="17"/>
  <c r="M35" i="16"/>
  <c r="M37" i="17"/>
  <c r="X7" i="2"/>
  <c r="X15" i="3"/>
  <c r="X30" i="3"/>
  <c r="W30" i="3"/>
  <c r="V30" i="3"/>
  <c r="L17" i="16"/>
  <c r="L19" i="17"/>
  <c r="N19" i="16"/>
  <c r="N21" i="17"/>
  <c r="D7" i="17"/>
  <c r="D5" i="16"/>
  <c r="P7" i="17"/>
  <c r="P5" i="16"/>
  <c r="G9" i="17"/>
  <c r="G7" i="16"/>
  <c r="O11" i="17"/>
  <c r="O9" i="16"/>
  <c r="V9" i="6"/>
  <c r="M23" i="17"/>
  <c r="M21" i="16"/>
  <c r="V12" i="7"/>
  <c r="V18" i="7"/>
  <c r="V24" i="7"/>
  <c r="V7" i="8"/>
  <c r="V13" i="8"/>
  <c r="V19" i="8"/>
  <c r="W9" i="10"/>
  <c r="D27" i="17"/>
  <c r="D25" i="16"/>
  <c r="P27" i="17"/>
  <c r="P25" i="16"/>
  <c r="G37" i="17"/>
  <c r="G35" i="16"/>
  <c r="H13" i="16"/>
  <c r="H15" i="17"/>
  <c r="V24" i="3"/>
  <c r="X10" i="4"/>
  <c r="V10" i="4"/>
  <c r="N35" i="16"/>
  <c r="N37" i="17"/>
  <c r="M19" i="17"/>
  <c r="M17" i="16"/>
  <c r="O19" i="16"/>
  <c r="O21" i="17"/>
  <c r="E5" i="16"/>
  <c r="E7" i="17"/>
  <c r="Q5" i="16"/>
  <c r="Q7" i="17"/>
  <c r="H9" i="17"/>
  <c r="H7" i="16"/>
  <c r="N23" i="17"/>
  <c r="N21" i="16"/>
  <c r="X15" i="10"/>
  <c r="V15" i="10"/>
  <c r="I29" i="17"/>
  <c r="I27" i="16"/>
  <c r="P15" i="16"/>
  <c r="P17" i="17"/>
  <c r="O35" i="16"/>
  <c r="O37" i="17"/>
  <c r="V8" i="2"/>
  <c r="V11" i="2"/>
  <c r="V14" i="2"/>
  <c r="V17" i="2"/>
  <c r="E11" i="16"/>
  <c r="E13" i="17"/>
  <c r="Q11" i="16"/>
  <c r="Q13" i="17"/>
  <c r="W12" i="3"/>
  <c r="K15" i="16"/>
  <c r="K17" i="17"/>
  <c r="V35" i="3"/>
  <c r="N19" i="17"/>
  <c r="N17" i="16"/>
  <c r="F5" i="16"/>
  <c r="F7" i="17"/>
  <c r="I9" i="17"/>
  <c r="I7" i="16"/>
  <c r="X36" i="5"/>
  <c r="W36" i="5"/>
  <c r="W10" i="6"/>
  <c r="V10" i="6"/>
  <c r="U10" i="6"/>
  <c r="X34" i="8"/>
  <c r="W15" i="10"/>
  <c r="F25" i="16"/>
  <c r="F27" i="17"/>
  <c r="J29" i="17"/>
  <c r="J27" i="16"/>
  <c r="O15" i="16"/>
  <c r="O17" i="17"/>
  <c r="D35" i="16"/>
  <c r="D37" i="17"/>
  <c r="P35" i="16"/>
  <c r="P37" i="17"/>
  <c r="W8" i="2"/>
  <c r="W11" i="2"/>
  <c r="W14" i="2"/>
  <c r="W17" i="2"/>
  <c r="F11" i="16"/>
  <c r="F13" i="17"/>
  <c r="X12" i="3"/>
  <c r="L15" i="16"/>
  <c r="L17" i="17"/>
  <c r="X27" i="3"/>
  <c r="W27" i="3"/>
  <c r="W35" i="3"/>
  <c r="E19" i="16"/>
  <c r="E21" i="17"/>
  <c r="Q19" i="16"/>
  <c r="Q21" i="17"/>
  <c r="V11" i="5"/>
  <c r="G5" i="16"/>
  <c r="G7" i="17"/>
  <c r="V29" i="5"/>
  <c r="J9" i="17"/>
  <c r="J7" i="16"/>
  <c r="V36" i="5"/>
  <c r="X13" i="7"/>
  <c r="W13" i="7"/>
  <c r="V13" i="7"/>
  <c r="X19" i="7"/>
  <c r="W19" i="7"/>
  <c r="V19" i="7"/>
  <c r="X25" i="7"/>
  <c r="W25" i="7"/>
  <c r="V25" i="7"/>
  <c r="V28" i="8"/>
  <c r="E13" i="16"/>
  <c r="E15" i="17"/>
  <c r="Q13" i="16"/>
  <c r="Q15" i="17"/>
  <c r="X21" i="10"/>
  <c r="V21" i="10"/>
  <c r="X11" i="12"/>
  <c r="W11" i="12"/>
  <c r="V11" i="12"/>
  <c r="X20" i="12"/>
  <c r="W20" i="12"/>
  <c r="V20" i="12"/>
  <c r="V75" i="15"/>
  <c r="N9" i="16"/>
  <c r="E35" i="16"/>
  <c r="E37" i="17"/>
  <c r="Q35" i="16"/>
  <c r="Q37" i="17"/>
  <c r="G13" i="17"/>
  <c r="G11" i="16"/>
  <c r="W13" i="3"/>
  <c r="V13" i="3"/>
  <c r="M15" i="16"/>
  <c r="M17" i="17"/>
  <c r="D19" i="17"/>
  <c r="D17" i="16"/>
  <c r="P19" i="17"/>
  <c r="P17" i="16"/>
  <c r="X13" i="4"/>
  <c r="V13" i="4"/>
  <c r="K7" i="16"/>
  <c r="K9" i="17"/>
  <c r="X42" i="5"/>
  <c r="W42" i="5"/>
  <c r="X28" i="8"/>
  <c r="H11" i="16"/>
  <c r="J25" i="17"/>
  <c r="J23" i="16"/>
  <c r="G13" i="16"/>
  <c r="G15" i="17"/>
  <c r="E25" i="16"/>
  <c r="E27" i="17"/>
  <c r="Q25" i="16"/>
  <c r="Q27" i="17"/>
  <c r="K27" i="16"/>
  <c r="K29" i="17"/>
  <c r="I29" i="16"/>
  <c r="I31" i="17"/>
  <c r="J29" i="16"/>
  <c r="J31" i="17"/>
  <c r="P41" i="17"/>
  <c r="P39" i="16"/>
  <c r="N13" i="16"/>
  <c r="N29" i="16"/>
  <c r="F19" i="17"/>
  <c r="W7" i="9"/>
  <c r="W10" i="9"/>
  <c r="W13" i="9"/>
  <c r="W16" i="9"/>
  <c r="I13" i="16"/>
  <c r="I15" i="17"/>
  <c r="G25" i="16"/>
  <c r="G27" i="17"/>
  <c r="V8" i="11"/>
  <c r="V11" i="11"/>
  <c r="V14" i="11"/>
  <c r="V17" i="11"/>
  <c r="V20" i="11"/>
  <c r="V23" i="11"/>
  <c r="V27" i="11"/>
  <c r="V30" i="11"/>
  <c r="V33" i="11"/>
  <c r="V36" i="11"/>
  <c r="V39" i="11"/>
  <c r="M27" i="16"/>
  <c r="M29" i="17"/>
  <c r="K29" i="16"/>
  <c r="K31" i="17"/>
  <c r="V26" i="12"/>
  <c r="V29" i="12"/>
  <c r="V32" i="12"/>
  <c r="V35" i="12"/>
  <c r="V38" i="12"/>
  <c r="V41" i="12"/>
  <c r="V44" i="12"/>
  <c r="V47" i="12"/>
  <c r="V50" i="12"/>
  <c r="V53" i="12"/>
  <c r="Q70" i="13"/>
  <c r="H15" i="16"/>
  <c r="K11" i="16"/>
  <c r="K13" i="17"/>
  <c r="E15" i="16"/>
  <c r="E17" i="17"/>
  <c r="Q15" i="16"/>
  <c r="Q17" i="17"/>
  <c r="O19" i="17"/>
  <c r="O17" i="16"/>
  <c r="D19" i="16"/>
  <c r="D21" i="17"/>
  <c r="P19" i="16"/>
  <c r="P21" i="17"/>
  <c r="H5" i="16"/>
  <c r="H7" i="17"/>
  <c r="D11" i="17"/>
  <c r="D9" i="16"/>
  <c r="P11" i="17"/>
  <c r="P9" i="16"/>
  <c r="O23" i="17"/>
  <c r="O21" i="16"/>
  <c r="G33" i="16"/>
  <c r="G35" i="17"/>
  <c r="V8" i="8"/>
  <c r="V11" i="8"/>
  <c r="V14" i="8"/>
  <c r="V17" i="8"/>
  <c r="V20" i="8"/>
  <c r="V23" i="8"/>
  <c r="V26" i="8"/>
  <c r="V29" i="8"/>
  <c r="V32" i="8"/>
  <c r="V35" i="8"/>
  <c r="M23" i="16"/>
  <c r="M25" i="17"/>
  <c r="J13" i="16"/>
  <c r="J15" i="17"/>
  <c r="H25" i="16"/>
  <c r="H27" i="17"/>
  <c r="W8" i="11"/>
  <c r="W11" i="11"/>
  <c r="W14" i="11"/>
  <c r="W17" i="11"/>
  <c r="W20" i="11"/>
  <c r="W23" i="11"/>
  <c r="W27" i="11"/>
  <c r="W30" i="11"/>
  <c r="W33" i="11"/>
  <c r="W36" i="11"/>
  <c r="W39" i="11"/>
  <c r="N27" i="16"/>
  <c r="N29" i="17"/>
  <c r="L29" i="16"/>
  <c r="L31" i="17"/>
  <c r="W26" i="12"/>
  <c r="W29" i="12"/>
  <c r="W32" i="12"/>
  <c r="W35" i="12"/>
  <c r="W38" i="12"/>
  <c r="W41" i="12"/>
  <c r="W44" i="12"/>
  <c r="W47" i="12"/>
  <c r="W50" i="12"/>
  <c r="W53" i="12"/>
  <c r="S70" i="13"/>
  <c r="M7" i="16"/>
  <c r="M9" i="17"/>
  <c r="E9" i="16"/>
  <c r="E11" i="17"/>
  <c r="Q9" i="16"/>
  <c r="Q11" i="17"/>
  <c r="D23" i="17"/>
  <c r="D21" i="16"/>
  <c r="P23" i="17"/>
  <c r="P21" i="16"/>
  <c r="H33" i="16"/>
  <c r="H35" i="17"/>
  <c r="W8" i="8"/>
  <c r="W11" i="8"/>
  <c r="W14" i="8"/>
  <c r="W17" i="8"/>
  <c r="W20" i="8"/>
  <c r="W23" i="8"/>
  <c r="W26" i="8"/>
  <c r="W29" i="8"/>
  <c r="W32" i="8"/>
  <c r="W35" i="8"/>
  <c r="N23" i="16"/>
  <c r="N25" i="17"/>
  <c r="K13" i="16"/>
  <c r="K15" i="17"/>
  <c r="I25" i="16"/>
  <c r="I27" i="17"/>
  <c r="X8" i="11"/>
  <c r="O27" i="16"/>
  <c r="O29" i="17"/>
  <c r="V9" i="12"/>
  <c r="V12" i="12"/>
  <c r="V15" i="12"/>
  <c r="V18" i="12"/>
  <c r="V21" i="12"/>
  <c r="M31" i="17"/>
  <c r="M29" i="16"/>
  <c r="X26" i="12"/>
  <c r="F23" i="17"/>
  <c r="E17" i="16"/>
  <c r="E19" i="17"/>
  <c r="Q17" i="16"/>
  <c r="Q19" i="17"/>
  <c r="F19" i="16"/>
  <c r="F21" i="17"/>
  <c r="J5" i="16"/>
  <c r="J7" i="17"/>
  <c r="N7" i="16"/>
  <c r="N9" i="17"/>
  <c r="E21" i="16"/>
  <c r="E23" i="17"/>
  <c r="Q21" i="16"/>
  <c r="Q23" i="17"/>
  <c r="I33" i="16"/>
  <c r="I35" i="17"/>
  <c r="O23" i="16"/>
  <c r="O25" i="17"/>
  <c r="V8" i="9"/>
  <c r="V11" i="9"/>
  <c r="V14" i="9"/>
  <c r="V17" i="9"/>
  <c r="L13" i="16"/>
  <c r="L15" i="17"/>
  <c r="W7" i="10"/>
  <c r="W10" i="10"/>
  <c r="W13" i="10"/>
  <c r="W16" i="10"/>
  <c r="W19" i="10"/>
  <c r="W22" i="10"/>
  <c r="W25" i="10"/>
  <c r="W28" i="10"/>
  <c r="J25" i="16"/>
  <c r="J27" i="17"/>
  <c r="D27" i="16"/>
  <c r="D29" i="17"/>
  <c r="P27" i="16"/>
  <c r="P29" i="17"/>
  <c r="W9" i="12"/>
  <c r="W12" i="12"/>
  <c r="W15" i="12"/>
  <c r="W18" i="12"/>
  <c r="W21" i="12"/>
  <c r="X54" i="12"/>
  <c r="W54" i="12"/>
  <c r="S27" i="14"/>
  <c r="O43" i="17"/>
  <c r="O41" i="16"/>
  <c r="O57" i="16" s="1"/>
  <c r="E41" i="16"/>
  <c r="E43" i="17"/>
  <c r="H19" i="16"/>
  <c r="G21" i="17"/>
  <c r="G19" i="16"/>
  <c r="K5" i="16"/>
  <c r="K7" i="17"/>
  <c r="V18" i="5"/>
  <c r="O7" i="16"/>
  <c r="O9" i="17"/>
  <c r="V37" i="5"/>
  <c r="V40" i="5"/>
  <c r="V43" i="5"/>
  <c r="G9" i="16"/>
  <c r="G11" i="17"/>
  <c r="J33" i="16"/>
  <c r="J35" i="17"/>
  <c r="D23" i="16"/>
  <c r="D25" i="17"/>
  <c r="P23" i="16"/>
  <c r="P25" i="17"/>
  <c r="W8" i="9"/>
  <c r="W11" i="9"/>
  <c r="W14" i="9"/>
  <c r="W17" i="9"/>
  <c r="M15" i="17"/>
  <c r="M13" i="16"/>
  <c r="K25" i="16"/>
  <c r="K27" i="17"/>
  <c r="V6" i="11"/>
  <c r="V9" i="11"/>
  <c r="V12" i="11"/>
  <c r="V15" i="11"/>
  <c r="V18" i="11"/>
  <c r="V21" i="11"/>
  <c r="V24" i="11"/>
  <c r="V28" i="11"/>
  <c r="V31" i="11"/>
  <c r="V34" i="11"/>
  <c r="V37" i="11"/>
  <c r="E27" i="16"/>
  <c r="E29" i="17"/>
  <c r="Q27" i="16"/>
  <c r="Q29" i="17"/>
  <c r="O31" i="17"/>
  <c r="O29" i="16"/>
  <c r="V27" i="12"/>
  <c r="V30" i="12"/>
  <c r="V33" i="12"/>
  <c r="V36" i="12"/>
  <c r="V39" i="12"/>
  <c r="V42" i="12"/>
  <c r="V45" i="12"/>
  <c r="V48" i="12"/>
  <c r="V51" i="12"/>
  <c r="V54" i="12"/>
  <c r="L9" i="17"/>
  <c r="L25" i="17"/>
  <c r="O11" i="16"/>
  <c r="O13" i="17"/>
  <c r="V17" i="3"/>
  <c r="I17" i="17"/>
  <c r="I15" i="16"/>
  <c r="G17" i="16"/>
  <c r="G19" i="17"/>
  <c r="L5" i="16"/>
  <c r="L7" i="17"/>
  <c r="X18" i="5"/>
  <c r="D7" i="16"/>
  <c r="D9" i="17"/>
  <c r="P7" i="16"/>
  <c r="P9" i="17"/>
  <c r="W37" i="5"/>
  <c r="W40" i="5"/>
  <c r="H9" i="16"/>
  <c r="H11" i="17"/>
  <c r="U8" i="6"/>
  <c r="U11" i="6"/>
  <c r="U14" i="6"/>
  <c r="G21" i="16"/>
  <c r="G23" i="17"/>
  <c r="V11" i="7"/>
  <c r="V14" i="7"/>
  <c r="V17" i="7"/>
  <c r="V20" i="7"/>
  <c r="V23" i="7"/>
  <c r="V26" i="7"/>
  <c r="K33" i="16"/>
  <c r="K35" i="17"/>
  <c r="V6" i="8"/>
  <c r="V9" i="8"/>
  <c r="V12" i="8"/>
  <c r="V15" i="8"/>
  <c r="V18" i="8"/>
  <c r="V21" i="8"/>
  <c r="V24" i="8"/>
  <c r="V27" i="8"/>
  <c r="V30" i="8"/>
  <c r="V33" i="8"/>
  <c r="E23" i="16"/>
  <c r="E25" i="17"/>
  <c r="Q23" i="16"/>
  <c r="Q25" i="17"/>
  <c r="L25" i="16"/>
  <c r="L27" i="17"/>
  <c r="W6" i="11"/>
  <c r="W9" i="11"/>
  <c r="W12" i="11"/>
  <c r="W15" i="11"/>
  <c r="W18" i="11"/>
  <c r="W21" i="11"/>
  <c r="W24" i="11"/>
  <c r="W28" i="11"/>
  <c r="W31" i="11"/>
  <c r="W34" i="11"/>
  <c r="W37" i="11"/>
  <c r="F27" i="16"/>
  <c r="F29" i="17"/>
  <c r="D31" i="17"/>
  <c r="D29" i="16"/>
  <c r="P31" i="17"/>
  <c r="P29" i="16"/>
  <c r="W27" i="12"/>
  <c r="W30" i="12"/>
  <c r="W33" i="12"/>
  <c r="W36" i="12"/>
  <c r="W39" i="12"/>
  <c r="W42" i="12"/>
  <c r="W45" i="12"/>
  <c r="W48" i="12"/>
  <c r="W51" i="12"/>
  <c r="X55" i="12"/>
  <c r="V55" i="12"/>
  <c r="K31" i="16"/>
  <c r="K33" i="17"/>
  <c r="N5" i="16"/>
  <c r="F11" i="17"/>
  <c r="D11" i="16"/>
  <c r="D13" i="17"/>
  <c r="P11" i="16"/>
  <c r="P13" i="17"/>
  <c r="J17" i="17"/>
  <c r="J15" i="16"/>
  <c r="H17" i="16"/>
  <c r="H19" i="17"/>
  <c r="I21" i="17"/>
  <c r="I19" i="16"/>
  <c r="M7" i="17"/>
  <c r="M5" i="16"/>
  <c r="E7" i="16"/>
  <c r="E9" i="17"/>
  <c r="Q7" i="16"/>
  <c r="Q9" i="17"/>
  <c r="I9" i="16"/>
  <c r="I11" i="17"/>
  <c r="V8" i="6"/>
  <c r="V11" i="6"/>
  <c r="V14" i="6"/>
  <c r="H21" i="16"/>
  <c r="H23" i="17"/>
  <c r="W11" i="7"/>
  <c r="W14" i="7"/>
  <c r="W17" i="7"/>
  <c r="W20" i="7"/>
  <c r="W23" i="7"/>
  <c r="L33" i="16"/>
  <c r="L35" i="17"/>
  <c r="W6" i="8"/>
  <c r="W9" i="8"/>
  <c r="W12" i="8"/>
  <c r="W15" i="8"/>
  <c r="W18" i="8"/>
  <c r="W21" i="8"/>
  <c r="W24" i="8"/>
  <c r="W27" i="8"/>
  <c r="W30" i="8"/>
  <c r="W33" i="8"/>
  <c r="F23" i="16"/>
  <c r="F25" i="17"/>
  <c r="U36" i="8"/>
  <c r="O15" i="17"/>
  <c r="O13" i="16"/>
  <c r="M27" i="17"/>
  <c r="M25" i="16"/>
  <c r="G29" i="17"/>
  <c r="G27" i="16"/>
  <c r="V10" i="12"/>
  <c r="V13" i="12"/>
  <c r="V16" i="12"/>
  <c r="V19" i="12"/>
  <c r="E29" i="16"/>
  <c r="E31" i="17"/>
  <c r="Q29" i="16"/>
  <c r="Q31" i="17"/>
  <c r="W55" i="12"/>
  <c r="I17" i="16"/>
  <c r="I19" i="17"/>
  <c r="J21" i="17"/>
  <c r="J19" i="16"/>
  <c r="F7" i="16"/>
  <c r="F9" i="17"/>
  <c r="J9" i="16"/>
  <c r="J11" i="17"/>
  <c r="I21" i="16"/>
  <c r="I23" i="17"/>
  <c r="M35" i="17"/>
  <c r="M33" i="16"/>
  <c r="G25" i="17"/>
  <c r="G23" i="16"/>
  <c r="D15" i="17"/>
  <c r="D13" i="16"/>
  <c r="P15" i="17"/>
  <c r="P13" i="16"/>
  <c r="G37" i="16"/>
  <c r="G55" i="16" s="1"/>
  <c r="G39" i="17"/>
  <c r="T75" i="14"/>
  <c r="S25" i="15"/>
  <c r="L29" i="17"/>
  <c r="N75" i="14"/>
  <c r="H75" i="15"/>
  <c r="U75" i="15"/>
  <c r="T43" i="17" s="1"/>
  <c r="G31" i="16"/>
  <c r="E39" i="17"/>
  <c r="P75" i="14"/>
  <c r="J75" i="15"/>
  <c r="I31" i="16"/>
  <c r="M33" i="17"/>
  <c r="V60" i="12"/>
  <c r="V63" i="12"/>
  <c r="Q75" i="14"/>
  <c r="K75" i="15"/>
  <c r="J31" i="16"/>
  <c r="D37" i="16"/>
  <c r="D55" i="16" s="1"/>
  <c r="N33" i="17"/>
  <c r="K39" i="17"/>
  <c r="W57" i="12"/>
  <c r="W60" i="12"/>
  <c r="W63" i="12"/>
  <c r="R75" i="14"/>
  <c r="L75" i="15"/>
  <c r="O33" i="17"/>
  <c r="L39" i="17"/>
  <c r="S75" i="14"/>
  <c r="N75" i="15"/>
  <c r="D33" i="17"/>
  <c r="P33" i="17"/>
  <c r="O39" i="17"/>
  <c r="O75" i="15"/>
  <c r="E33" i="17"/>
  <c r="Q33" i="17"/>
  <c r="P39" i="17"/>
  <c r="V58" i="12"/>
  <c r="V61" i="12"/>
  <c r="H75" i="14"/>
  <c r="T43" i="15"/>
  <c r="T75" i="15" s="1"/>
  <c r="P75" i="15"/>
  <c r="F33" i="17"/>
  <c r="Q39" i="17"/>
  <c r="O41" i="17"/>
  <c r="W58" i="12"/>
  <c r="W61" i="12"/>
  <c r="I75" i="14"/>
  <c r="Q75" i="15"/>
  <c r="J75" i="14"/>
  <c r="R75" i="15"/>
  <c r="O37" i="16"/>
  <c r="O55" i="16" s="1"/>
  <c r="K75" i="14"/>
  <c r="J53" i="16" l="1"/>
  <c r="F53" i="16"/>
  <c r="V36" i="3"/>
  <c r="V19" i="3"/>
  <c r="W40" i="11"/>
  <c r="V40" i="11"/>
  <c r="X40" i="11"/>
  <c r="U29" i="17" s="1"/>
  <c r="X31" i="7"/>
  <c r="W31" i="7"/>
  <c r="V31" i="7"/>
  <c r="V75" i="14"/>
  <c r="V39" i="16" s="1"/>
  <c r="I41" i="17"/>
  <c r="U41" i="17"/>
  <c r="X64" i="12"/>
  <c r="V31" i="16" s="1"/>
  <c r="X22" i="12"/>
  <c r="V22" i="12"/>
  <c r="W64" i="12"/>
  <c r="W22" i="12"/>
  <c r="V64" i="12"/>
  <c r="R33" i="17"/>
  <c r="R29" i="17"/>
  <c r="Q53" i="16"/>
  <c r="N53" i="16"/>
  <c r="V16" i="6"/>
  <c r="W16" i="6"/>
  <c r="V21" i="16" s="1"/>
  <c r="U16" i="6"/>
  <c r="V36" i="8"/>
  <c r="W36" i="8"/>
  <c r="X36" i="8"/>
  <c r="V23" i="16" s="1"/>
  <c r="R35" i="17"/>
  <c r="U35" i="17"/>
  <c r="V7" i="16"/>
  <c r="T9" i="17"/>
  <c r="X19" i="3"/>
  <c r="W19" i="3"/>
  <c r="W36" i="3"/>
  <c r="U17" i="16" s="1"/>
  <c r="X36" i="3"/>
  <c r="V17" i="16" s="1"/>
  <c r="V20" i="2"/>
  <c r="X20" i="2"/>
  <c r="W20" i="2"/>
  <c r="K51" i="16"/>
  <c r="N45" i="17"/>
  <c r="L51" i="16"/>
  <c r="H45" i="17"/>
  <c r="T15" i="16"/>
  <c r="S13" i="16"/>
  <c r="R15" i="17"/>
  <c r="U33" i="16"/>
  <c r="T35" i="17"/>
  <c r="V33" i="16"/>
  <c r="T25" i="16"/>
  <c r="S27" i="17"/>
  <c r="V25" i="16"/>
  <c r="U27" i="17"/>
  <c r="T21" i="16"/>
  <c r="S23" i="17"/>
  <c r="T41" i="16"/>
  <c r="S43" i="17"/>
  <c r="T13" i="16"/>
  <c r="S15" i="17"/>
  <c r="S13" i="17"/>
  <c r="T11" i="16"/>
  <c r="U21" i="16"/>
  <c r="T23" i="17"/>
  <c r="T17" i="16"/>
  <c r="S19" i="17"/>
  <c r="T5" i="16"/>
  <c r="S7" i="17"/>
  <c r="U25" i="17"/>
  <c r="T33" i="16"/>
  <c r="S35" i="17"/>
  <c r="H39" i="16"/>
  <c r="H41" i="17"/>
  <c r="I53" i="16"/>
  <c r="S5" i="16"/>
  <c r="R7" i="17"/>
  <c r="I51" i="16"/>
  <c r="K39" i="16"/>
  <c r="K41" i="17"/>
  <c r="S9" i="17"/>
  <c r="T7" i="16"/>
  <c r="J45" i="17"/>
  <c r="U39" i="17"/>
  <c r="V37" i="16"/>
  <c r="F45" i="17"/>
  <c r="S17" i="16"/>
  <c r="R19" i="17"/>
  <c r="G39" i="16"/>
  <c r="G41" i="17"/>
  <c r="G41" i="16"/>
  <c r="G43" i="17"/>
  <c r="D41" i="17"/>
  <c r="D39" i="16"/>
  <c r="N51" i="16"/>
  <c r="U9" i="17"/>
  <c r="Q43" i="17"/>
  <c r="Q41" i="16"/>
  <c r="L45" i="17"/>
  <c r="K45" i="17"/>
  <c r="J51" i="16"/>
  <c r="E53" i="16"/>
  <c r="F51" i="16"/>
  <c r="T37" i="17"/>
  <c r="U35" i="16"/>
  <c r="V13" i="16"/>
  <c r="U15" i="17"/>
  <c r="S41" i="17"/>
  <c r="T39" i="16"/>
  <c r="T25" i="17"/>
  <c r="U23" i="16"/>
  <c r="S25" i="17"/>
  <c r="T23" i="16"/>
  <c r="U13" i="16"/>
  <c r="T15" i="17"/>
  <c r="G53" i="16"/>
  <c r="H51" i="16"/>
  <c r="U7" i="16"/>
  <c r="K53" i="16"/>
  <c r="S35" i="16"/>
  <c r="R37" i="17"/>
  <c r="V41" i="16"/>
  <c r="U43" i="17"/>
  <c r="V76" i="15"/>
  <c r="O51" i="16"/>
  <c r="F39" i="16"/>
  <c r="F41" i="17"/>
  <c r="K41" i="16"/>
  <c r="K43" i="17"/>
  <c r="S39" i="17"/>
  <c r="T37" i="16"/>
  <c r="S21" i="16"/>
  <c r="S53" i="16" s="1"/>
  <c r="R23" i="17"/>
  <c r="Q45" i="17"/>
  <c r="O45" i="17"/>
  <c r="S15" i="16"/>
  <c r="R17" i="17"/>
  <c r="P43" i="17"/>
  <c r="P41" i="16"/>
  <c r="P57" i="16" s="1"/>
  <c r="S23" i="16"/>
  <c r="R25" i="17"/>
  <c r="S29" i="16"/>
  <c r="R31" i="17"/>
  <c r="I41" i="16"/>
  <c r="I57" i="16" s="1"/>
  <c r="I43" i="17"/>
  <c r="J39" i="16"/>
  <c r="J41" i="17"/>
  <c r="Q51" i="16"/>
  <c r="D53" i="16"/>
  <c r="G45" i="17"/>
  <c r="E45" i="17"/>
  <c r="P51" i="16"/>
  <c r="S25" i="16"/>
  <c r="R27" i="17"/>
  <c r="M53" i="16"/>
  <c r="F41" i="16"/>
  <c r="F43" i="17"/>
  <c r="P53" i="16"/>
  <c r="G51" i="16"/>
  <c r="S9" i="16"/>
  <c r="R11" i="17"/>
  <c r="E51" i="16"/>
  <c r="P45" i="17"/>
  <c r="U13" i="17"/>
  <c r="V11" i="16"/>
  <c r="L53" i="16"/>
  <c r="V5" i="16"/>
  <c r="U7" i="17"/>
  <c r="Q41" i="17"/>
  <c r="Q39" i="16"/>
  <c r="Q57" i="16" s="1"/>
  <c r="E39" i="16"/>
  <c r="E57" i="16" s="1"/>
  <c r="E41" i="17"/>
  <c r="H53" i="16"/>
  <c r="M51" i="16"/>
  <c r="D51" i="16"/>
  <c r="J41" i="16"/>
  <c r="J43" i="17"/>
  <c r="H41" i="16"/>
  <c r="H43" i="17"/>
  <c r="D41" i="16"/>
  <c r="D43" i="17"/>
  <c r="M45" i="17"/>
  <c r="V76" i="14"/>
  <c r="V43" i="16"/>
  <c r="S7" i="16"/>
  <c r="R9" i="17"/>
  <c r="O53" i="16"/>
  <c r="U5" i="16"/>
  <c r="T7" i="17"/>
  <c r="D45" i="17"/>
  <c r="I45" i="17"/>
  <c r="T19" i="17" l="1"/>
  <c r="V27" i="16"/>
  <c r="T57" i="16"/>
  <c r="H57" i="16"/>
  <c r="K57" i="16"/>
  <c r="D57" i="16"/>
  <c r="U23" i="17"/>
  <c r="U19" i="17"/>
  <c r="S17" i="17"/>
  <c r="V57" i="16"/>
  <c r="V55" i="16"/>
  <c r="U17" i="17"/>
  <c r="V15" i="16"/>
  <c r="V29" i="16"/>
  <c r="U31" i="17"/>
  <c r="T13" i="17"/>
  <c r="U11" i="16"/>
  <c r="G57" i="16"/>
  <c r="U9" i="16"/>
  <c r="T11" i="17"/>
  <c r="T17" i="17"/>
  <c r="U15" i="16"/>
  <c r="T29" i="17"/>
  <c r="U27" i="16"/>
  <c r="S29" i="17"/>
  <c r="T27" i="16"/>
  <c r="F57" i="16"/>
  <c r="T9" i="16"/>
  <c r="S11" i="17"/>
  <c r="R47" i="17"/>
  <c r="U25" i="16"/>
  <c r="T27" i="17"/>
  <c r="T21" i="17"/>
  <c r="U19" i="16"/>
  <c r="U53" i="16" s="1"/>
  <c r="T29" i="16"/>
  <c r="S31" i="17"/>
  <c r="T33" i="17"/>
  <c r="U31" i="16"/>
  <c r="S21" i="17"/>
  <c r="T19" i="16"/>
  <c r="T53" i="16" s="1"/>
  <c r="S33" i="17"/>
  <c r="T31" i="16"/>
  <c r="U29" i="16"/>
  <c r="T31" i="17"/>
  <c r="S51" i="16"/>
  <c r="T55" i="16"/>
  <c r="U33" i="17"/>
  <c r="V9" i="16"/>
  <c r="U11" i="17"/>
  <c r="J57" i="16"/>
  <c r="U21" i="17"/>
  <c r="V19" i="16"/>
  <c r="V53" i="16" s="1"/>
  <c r="V51" i="16" l="1"/>
  <c r="T50" i="17"/>
  <c r="T51" i="17" s="1"/>
  <c r="T53" i="17" s="1"/>
  <c r="T49" i="17"/>
  <c r="U51" i="16"/>
  <c r="U65" i="16"/>
  <c r="U66" i="16" s="1"/>
  <c r="T51" i="16"/>
  <c r="S48" i="17"/>
  <c r="T52" i="17" l="1"/>
</calcChain>
</file>

<file path=xl/sharedStrings.xml><?xml version="1.0" encoding="utf-8"?>
<sst xmlns="http://schemas.openxmlformats.org/spreadsheetml/2006/main" count="1704" uniqueCount="1037">
  <si>
    <t>Down climbing Jugs</t>
  </si>
  <si>
    <t xml:space="preserve">Grey </t>
  </si>
  <si>
    <t>RAL 3020</t>
  </si>
  <si>
    <t>RAL 5015</t>
  </si>
  <si>
    <t>RAL 9005</t>
  </si>
  <si>
    <t>RAL 2005</t>
  </si>
  <si>
    <t>PAN 802C</t>
  </si>
  <si>
    <t>PAN 806C</t>
  </si>
  <si>
    <t>RAL 4008</t>
  </si>
  <si>
    <t>RAL 6027</t>
  </si>
  <si>
    <t>RAL 6018</t>
  </si>
  <si>
    <t>US 14-01</t>
  </si>
  <si>
    <t>US 16-16</t>
  </si>
  <si>
    <t>RAL 9010</t>
  </si>
  <si>
    <t>PAN 267U</t>
  </si>
  <si>
    <t>NAME</t>
  </si>
  <si>
    <t>PHOTO</t>
  </si>
  <si>
    <t>SET SIZE</t>
  </si>
  <si>
    <t>SKU</t>
  </si>
  <si>
    <t>PRICE</t>
  </si>
  <si>
    <t>SETS</t>
  </si>
  <si>
    <t>HOLDS</t>
  </si>
  <si>
    <t>WEIGHT</t>
  </si>
  <si>
    <t>TOTAL ex TAX</t>
  </si>
  <si>
    <t>Down Foot</t>
  </si>
  <si>
    <t>Downjug</t>
  </si>
  <si>
    <t>TERRORS</t>
  </si>
  <si>
    <t>RAL 1023</t>
  </si>
  <si>
    <t>COST ex TAX</t>
  </si>
  <si>
    <t>UN 01</t>
  </si>
  <si>
    <t>SMALL 1</t>
  </si>
  <si>
    <t>UN 02</t>
  </si>
  <si>
    <t>LARGE 1</t>
  </si>
  <si>
    <t>UN 03</t>
  </si>
  <si>
    <t>LARGE 2</t>
  </si>
  <si>
    <t>UN 07</t>
  </si>
  <si>
    <t>XL 1</t>
  </si>
  <si>
    <t>UN 04</t>
  </si>
  <si>
    <t>XL 2</t>
  </si>
  <si>
    <t>UN 08</t>
  </si>
  <si>
    <t>XL 3</t>
  </si>
  <si>
    <t>UN 09</t>
  </si>
  <si>
    <t>XL 4</t>
  </si>
  <si>
    <t>UN 10</t>
  </si>
  <si>
    <t>XL 5</t>
  </si>
  <si>
    <t>UN 11</t>
  </si>
  <si>
    <t>SM PLATES</t>
  </si>
  <si>
    <t>UN 05</t>
  </si>
  <si>
    <t>MEDIUM PLATES</t>
  </si>
  <si>
    <t>UN 06</t>
  </si>
  <si>
    <t>XXXL 1</t>
  </si>
  <si>
    <t>UN 12</t>
  </si>
  <si>
    <t>XXXL 2</t>
  </si>
  <si>
    <t>UN 13</t>
  </si>
  <si>
    <t>COMMAS PU</t>
  </si>
  <si>
    <t xml:space="preserve">COMMAS DUAL TEX </t>
  </si>
  <si>
    <t>DUAL TEX FOOT JIBS</t>
  </si>
  <si>
    <t>UC 02</t>
  </si>
  <si>
    <t>MICRO JIBS DT</t>
  </si>
  <si>
    <t>UC 03</t>
  </si>
  <si>
    <t>XS JIBS DT</t>
  </si>
  <si>
    <t>UC 04</t>
  </si>
  <si>
    <t>FLAT JIBS 1</t>
  </si>
  <si>
    <t>UC 06</t>
  </si>
  <si>
    <t>FLAT JIBS 2</t>
  </si>
  <si>
    <t>UC 07</t>
  </si>
  <si>
    <t>DUAL TEX SMALL FLARED JIBS</t>
  </si>
  <si>
    <t>UC 11</t>
  </si>
  <si>
    <t>XS FLAIRED JIBS</t>
  </si>
  <si>
    <t>UC 14</t>
  </si>
  <si>
    <t>DUAL TEX SMALL FLARED EDGES 1</t>
  </si>
  <si>
    <t>UC 16</t>
  </si>
  <si>
    <t>DUAL TEX SMALL FLARED EDGES 2</t>
  </si>
  <si>
    <t>UC 17</t>
  </si>
  <si>
    <t>LARGE EDGE DT</t>
  </si>
  <si>
    <t>UC 51</t>
  </si>
  <si>
    <t>XL EDGE 2 DUAL TEX</t>
  </si>
  <si>
    <t>UC 56</t>
  </si>
  <si>
    <t>XL EDGE 3 DUAL TEX</t>
  </si>
  <si>
    <t>UC 57</t>
  </si>
  <si>
    <t xml:space="preserve">COMMAS NORMAL TEX </t>
  </si>
  <si>
    <t>XS FEET</t>
  </si>
  <si>
    <t>UC 01</t>
  </si>
  <si>
    <t>SMALL FEET</t>
  </si>
  <si>
    <t>UC O5</t>
  </si>
  <si>
    <t>SMALL JIBS</t>
  </si>
  <si>
    <t>UC 10</t>
  </si>
  <si>
    <t>SMALL EDGE</t>
  </si>
  <si>
    <t>UC 15</t>
  </si>
  <si>
    <t>SMALL DEEP EDGE</t>
  </si>
  <si>
    <t>UC 20</t>
  </si>
  <si>
    <t>SMALL SCOOP EDGE</t>
  </si>
  <si>
    <t>UC 25</t>
  </si>
  <si>
    <t>MEDIUM EDGE 1</t>
  </si>
  <si>
    <t>UC 30</t>
  </si>
  <si>
    <t>MEDIUM EDGE 2</t>
  </si>
  <si>
    <t>UC 35</t>
  </si>
  <si>
    <t>LARGE EDGE 1</t>
  </si>
  <si>
    <t>UC 40</t>
  </si>
  <si>
    <t>LARGE EDGE 2</t>
  </si>
  <si>
    <t>UC 45</t>
  </si>
  <si>
    <t>LARGE EDGE 3</t>
  </si>
  <si>
    <t>UC 50</t>
  </si>
  <si>
    <t>XL SLOPERS</t>
  </si>
  <si>
    <t>UC 55</t>
  </si>
  <si>
    <t>XXL SLOPERS</t>
  </si>
  <si>
    <t>UC 60</t>
  </si>
  <si>
    <t>XXXL SLOPERS</t>
  </si>
  <si>
    <t>UC 65</t>
  </si>
  <si>
    <t>COMMAS PE</t>
  </si>
  <si>
    <t>MEDIUM FEET/INCUT</t>
  </si>
  <si>
    <t>UCPE 05</t>
  </si>
  <si>
    <t xml:space="preserve">SMALL JUGS </t>
  </si>
  <si>
    <t>UCPE 07</t>
  </si>
  <si>
    <t>MEDIUM JUGS 1</t>
  </si>
  <si>
    <t>UCPE 08</t>
  </si>
  <si>
    <t>LARGE JUGS 1</t>
  </si>
  <si>
    <t>UCPE 10</t>
  </si>
  <si>
    <t xml:space="preserve">LARGE ROUND SHALLOW </t>
  </si>
  <si>
    <t>UCPE 20</t>
  </si>
  <si>
    <t>LARGE ROUND INCUT</t>
  </si>
  <si>
    <t>UCPE 15</t>
  </si>
  <si>
    <t>LARGE JUGS 2</t>
  </si>
  <si>
    <t>UCPE 25</t>
  </si>
  <si>
    <t xml:space="preserve">LARGE JUGS </t>
  </si>
  <si>
    <t>UCPE 16</t>
  </si>
  <si>
    <t>XL JUGS 1</t>
  </si>
  <si>
    <t>UCPE 30</t>
  </si>
  <si>
    <t>XL JUGS 2</t>
  </si>
  <si>
    <t>UCPE 35</t>
  </si>
  <si>
    <t>XL JUGS 3</t>
  </si>
  <si>
    <t>UCPE 40</t>
  </si>
  <si>
    <t>ECLIPSE FAMILY</t>
  </si>
  <si>
    <t>JUGS &amp; FEET</t>
  </si>
  <si>
    <t>MEDIUM  FEET 1</t>
  </si>
  <si>
    <t>UBE 76/CX.Small Feet 1</t>
  </si>
  <si>
    <t>MEDIUM  FEET 2</t>
  </si>
  <si>
    <t>UBE 79</t>
  </si>
  <si>
    <t>MEDIUM DEEP FEET</t>
  </si>
  <si>
    <t>UBE 80</t>
  </si>
  <si>
    <r>
      <rPr>
        <b/>
        <sz val="14"/>
        <color theme="1"/>
        <rFont val="Calibri"/>
        <family val="2"/>
      </rPr>
      <t xml:space="preserve">M JUGS                </t>
    </r>
    <r>
      <rPr>
        <b/>
        <sz val="11"/>
        <color theme="1"/>
        <rFont val="Calibri"/>
        <family val="2"/>
      </rPr>
      <t xml:space="preserve">SET A  </t>
    </r>
  </si>
  <si>
    <t>UBE 21</t>
  </si>
  <si>
    <r>
      <rPr>
        <b/>
        <sz val="14"/>
        <color theme="1"/>
        <rFont val="Calibri"/>
        <family val="2"/>
      </rPr>
      <t xml:space="preserve">L JUGS                </t>
    </r>
    <r>
      <rPr>
        <b/>
        <sz val="11"/>
        <color theme="1"/>
        <rFont val="Calibri"/>
        <family val="2"/>
      </rPr>
      <t>SET B</t>
    </r>
  </si>
  <si>
    <t>UBE 22</t>
  </si>
  <si>
    <r>
      <rPr>
        <b/>
        <sz val="14"/>
        <color theme="1"/>
        <rFont val="Calibri"/>
        <family val="2"/>
      </rPr>
      <t xml:space="preserve">XL JUGS             </t>
    </r>
    <r>
      <rPr>
        <b/>
        <sz val="11"/>
        <color theme="1"/>
        <rFont val="Calibri"/>
        <family val="2"/>
      </rPr>
      <t xml:space="preserve"> SET C</t>
    </r>
  </si>
  <si>
    <t>UBE 23</t>
  </si>
  <si>
    <r>
      <rPr>
        <b/>
        <sz val="15"/>
        <color theme="1"/>
        <rFont val="Calibri"/>
        <family val="2"/>
      </rPr>
      <t xml:space="preserve">XL JUGS           </t>
    </r>
    <r>
      <rPr>
        <b/>
        <sz val="11"/>
        <color theme="1"/>
        <rFont val="Calibri"/>
        <family val="2"/>
      </rPr>
      <t xml:space="preserve"> SET D</t>
    </r>
  </si>
  <si>
    <t>UBE 24</t>
  </si>
  <si>
    <t>EDGES &amp; SLOPERS &amp; FEET</t>
  </si>
  <si>
    <t>XS FEET 1</t>
  </si>
  <si>
    <t>UBE 85</t>
  </si>
  <si>
    <t>XS FEET 2</t>
  </si>
  <si>
    <t xml:space="preserve">UBE 86 </t>
  </si>
  <si>
    <t>S FEET 1</t>
  </si>
  <si>
    <t>UBE 77</t>
  </si>
  <si>
    <t>UBE 78</t>
  </si>
  <si>
    <t>M FEET &amp; EDGES</t>
  </si>
  <si>
    <t>UBE 84</t>
  </si>
  <si>
    <t xml:space="preserve">MEDIUM 1 SLOPERS &amp; EDGE </t>
  </si>
  <si>
    <t>UBE 74</t>
  </si>
  <si>
    <t>MEDIUM 2 EDGE</t>
  </si>
  <si>
    <t>UBE 75/cx  Small Edge 2</t>
  </si>
  <si>
    <t>M EDGES             slope &amp; edge</t>
  </si>
  <si>
    <t>UBE 02</t>
  </si>
  <si>
    <r>
      <rPr>
        <b/>
        <sz val="13"/>
        <color theme="1"/>
        <rFont val="Calibri"/>
        <family val="2"/>
      </rPr>
      <t xml:space="preserve">L SET A        </t>
    </r>
    <r>
      <rPr>
        <b/>
        <sz val="11"/>
        <color theme="1"/>
        <rFont val="Calibri"/>
        <family val="2"/>
      </rPr>
      <t xml:space="preserve">MIXED EDGES </t>
    </r>
  </si>
  <si>
    <t>UBE 01</t>
  </si>
  <si>
    <r>
      <rPr>
        <b/>
        <sz val="13"/>
        <color theme="1"/>
        <rFont val="Calibri"/>
        <family val="2"/>
      </rPr>
      <t>L SET B</t>
    </r>
    <r>
      <rPr>
        <b/>
        <sz val="11"/>
        <color theme="1"/>
        <rFont val="Calibri"/>
        <family val="2"/>
      </rPr>
      <t xml:space="preserve">         MIXED DEEP INCUT AND SLOPERS</t>
    </r>
  </si>
  <si>
    <t>UBE 05</t>
  </si>
  <si>
    <r>
      <rPr>
        <b/>
        <sz val="14"/>
        <color theme="1"/>
        <rFont val="Calibri"/>
        <family val="2"/>
      </rPr>
      <t xml:space="preserve">XL SET C     </t>
    </r>
    <r>
      <rPr>
        <b/>
        <sz val="11"/>
        <color theme="1"/>
        <rFont val="Calibri"/>
        <family val="2"/>
      </rPr>
      <t xml:space="preserve"> MIXED DEEP INCUT AND SLOPERS</t>
    </r>
  </si>
  <si>
    <t>UBE 10</t>
  </si>
  <si>
    <r>
      <rPr>
        <b/>
        <sz val="14"/>
        <color theme="1"/>
        <rFont val="Calibri"/>
        <family val="2"/>
      </rPr>
      <t xml:space="preserve">XL SET D     </t>
    </r>
    <r>
      <rPr>
        <b/>
        <sz val="11"/>
        <color theme="1"/>
        <rFont val="Calibri"/>
        <family val="2"/>
      </rPr>
      <t xml:space="preserve"> MIXED DEEP INCUT AND SLOPERS 30 CM</t>
    </r>
  </si>
  <si>
    <t>UBE 15</t>
  </si>
  <si>
    <r>
      <rPr>
        <b/>
        <sz val="14"/>
        <color theme="1"/>
        <rFont val="Calibri"/>
        <family val="2"/>
      </rPr>
      <t xml:space="preserve">XXL SET E     </t>
    </r>
    <r>
      <rPr>
        <b/>
        <sz val="11"/>
        <color theme="1"/>
        <rFont val="Calibri"/>
        <family val="2"/>
      </rPr>
      <t xml:space="preserve"> MIXED DEEP INCUTS AND SLOPERS 40CM </t>
    </r>
  </si>
  <si>
    <t>UBE 20</t>
  </si>
  <si>
    <t>BLOCKERS (MIXED EDGES)</t>
  </si>
  <si>
    <t>SET A1 FOR BLOCKING SET A ECLIPSE</t>
  </si>
  <si>
    <t>UBE 25</t>
  </si>
  <si>
    <t>SET A2 FOR BLOCKING SET A ECLIPSE</t>
  </si>
  <si>
    <t>UBE 30</t>
  </si>
  <si>
    <t>SET B1 FOR BLOCKING SET B ECLIPSE</t>
  </si>
  <si>
    <t>UBE 35</t>
  </si>
  <si>
    <t>SET B2 FOR BLOCKING SET B ECLIPSE</t>
  </si>
  <si>
    <t>UBE 40</t>
  </si>
  <si>
    <t>SET C1 FOR BLOCKING SET C ECLIPSE</t>
  </si>
  <si>
    <t>UBE 45</t>
  </si>
  <si>
    <t>SET C2 FOR BLOCKING SET C ECLIPSE</t>
  </si>
  <si>
    <t>UBE 50</t>
  </si>
  <si>
    <t>SET D1 FOR BLOCKING SET D ECLIPSE</t>
  </si>
  <si>
    <t>UBE 55</t>
  </si>
  <si>
    <t>SET D2 FOR BLOCKING SET D ECLIPSE</t>
  </si>
  <si>
    <t>UBE 60</t>
  </si>
  <si>
    <t>SET E1 FOR BLOCKING SET E ECLIPSE</t>
  </si>
  <si>
    <t>UBE 65</t>
  </si>
  <si>
    <t>SET E2 FOR BLOCKING SET E ECLIPSE</t>
  </si>
  <si>
    <t>UBE 70</t>
  </si>
  <si>
    <t>BOARDERLINE PE</t>
  </si>
  <si>
    <t>Boarderline Set 1</t>
  </si>
  <si>
    <t>UBL 01</t>
  </si>
  <si>
    <t>Set 2 JIB FEET</t>
  </si>
  <si>
    <t>UBL 02</t>
  </si>
  <si>
    <t>Set 3 EXTRA SMALL FEET</t>
  </si>
  <si>
    <t>UBL 03</t>
  </si>
  <si>
    <t>Set 4 SMALL INCUT</t>
  </si>
  <si>
    <t>UBL 04</t>
  </si>
  <si>
    <t>Set 5 EXTRA SMALL JUGS</t>
  </si>
  <si>
    <t>UBL 05</t>
  </si>
  <si>
    <t>Set 6 SMALL JUGS</t>
  </si>
  <si>
    <t>UBL 06</t>
  </si>
  <si>
    <t>Set 7 MEDIUM JUGS</t>
  </si>
  <si>
    <t>UBL 07</t>
  </si>
  <si>
    <t>SET 8 SMALL PINCHES</t>
  </si>
  <si>
    <t>UBL 08</t>
  </si>
  <si>
    <t>Set 7 MEDIUM PINCHES</t>
  </si>
  <si>
    <t>UBL 09</t>
  </si>
  <si>
    <t xml:space="preserve">HARD BOILED PU </t>
  </si>
  <si>
    <t xml:space="preserve">SIZE </t>
  </si>
  <si>
    <t>10 cm</t>
  </si>
  <si>
    <t>UHB 01</t>
  </si>
  <si>
    <t>19cm</t>
  </si>
  <si>
    <t>Large 1     Shallow scoops and edges</t>
  </si>
  <si>
    <t>UHB 10</t>
  </si>
  <si>
    <t>Large 2  Pinches</t>
  </si>
  <si>
    <t>UHB 11</t>
  </si>
  <si>
    <t>30 cm</t>
  </si>
  <si>
    <t>XL 1   Shallow and Deep edge</t>
  </si>
  <si>
    <t>UHB 15</t>
  </si>
  <si>
    <t>XL 2   Hard Scoops</t>
  </si>
  <si>
    <t>UHB 16</t>
  </si>
  <si>
    <t>XL 3  Rounded incuts</t>
  </si>
  <si>
    <t>UHB 17</t>
  </si>
  <si>
    <t>XL 4    Round Scoop</t>
  </si>
  <si>
    <t>UHB 18</t>
  </si>
  <si>
    <t>XL 5 Rounded Juggy</t>
  </si>
  <si>
    <t>UHB 19</t>
  </si>
  <si>
    <t>XL 6       Hard Pinches</t>
  </si>
  <si>
    <t>UHB 20</t>
  </si>
  <si>
    <t>XL 7         Pinches</t>
  </si>
  <si>
    <t>UHB 21</t>
  </si>
  <si>
    <t>XL 8       Hard Pinches</t>
  </si>
  <si>
    <t>UHB 22</t>
  </si>
  <si>
    <t>40 cm</t>
  </si>
  <si>
    <t>XL+ 9    Good Edges</t>
  </si>
  <si>
    <t>UHB 30</t>
  </si>
  <si>
    <t>XL+ 10    Rounded Incut</t>
  </si>
  <si>
    <t>UHB 31</t>
  </si>
  <si>
    <t>XL+ 11    Hard Scoops</t>
  </si>
  <si>
    <t>UHB 32</t>
  </si>
  <si>
    <t>XL+ 12  Round Juggy Incuts</t>
  </si>
  <si>
    <t>UHB 33</t>
  </si>
  <si>
    <t>XL+ 13   Hard Scoops</t>
  </si>
  <si>
    <t>UHB 34</t>
  </si>
  <si>
    <t>XXL 1  Hard Scoops</t>
  </si>
  <si>
    <t>UHB 40</t>
  </si>
  <si>
    <t>XXL 2</t>
  </si>
  <si>
    <t>UHB 41</t>
  </si>
  <si>
    <t>XXL 3 Hard scoops</t>
  </si>
  <si>
    <t>UHB 42</t>
  </si>
  <si>
    <t>DRIFTS</t>
  </si>
  <si>
    <t>PHOTOS</t>
  </si>
  <si>
    <t>SM FEET 1</t>
  </si>
  <si>
    <t>UD 01</t>
  </si>
  <si>
    <t>TECH FEET</t>
  </si>
  <si>
    <t>UD 04</t>
  </si>
  <si>
    <t>SM FEET 2</t>
  </si>
  <si>
    <t>UD 05</t>
  </si>
  <si>
    <t>UD 06</t>
  </si>
  <si>
    <t>LG FEET</t>
  </si>
  <si>
    <t>UD 07</t>
  </si>
  <si>
    <t>FEINT EDGES</t>
  </si>
  <si>
    <t>UD 08</t>
  </si>
  <si>
    <t>XS EDGES</t>
  </si>
  <si>
    <t>UD 09</t>
  </si>
  <si>
    <t xml:space="preserve">PLATE EDGES </t>
  </si>
  <si>
    <t>UD 10</t>
  </si>
  <si>
    <t xml:space="preserve">LG EDGES </t>
  </si>
  <si>
    <t>UD 11</t>
  </si>
  <si>
    <t>LG INCUTS</t>
  </si>
  <si>
    <t>UD 12</t>
  </si>
  <si>
    <t>LARGE PINCH</t>
  </si>
  <si>
    <t>UD 13</t>
  </si>
  <si>
    <t>SM EDGES 1</t>
  </si>
  <si>
    <t>UD 15</t>
  </si>
  <si>
    <t>SM EDGES 2</t>
  </si>
  <si>
    <t>UD 16</t>
  </si>
  <si>
    <t>MED EDGES</t>
  </si>
  <si>
    <t>UD 17</t>
  </si>
  <si>
    <t>RIB INCUTS</t>
  </si>
  <si>
    <t>UD 18</t>
  </si>
  <si>
    <t>FLAT EDGES</t>
  </si>
  <si>
    <t>UD 19</t>
  </si>
  <si>
    <t>SM JUGS 1</t>
  </si>
  <si>
    <t>UD 20</t>
  </si>
  <si>
    <t>MED JUGS 1</t>
  </si>
  <si>
    <t>UD 25</t>
  </si>
  <si>
    <t>MED JUGS 2</t>
  </si>
  <si>
    <t>UD 30</t>
  </si>
  <si>
    <t>LG JUGS 1</t>
  </si>
  <si>
    <t>UD 35</t>
  </si>
  <si>
    <t>LG JUGS 2</t>
  </si>
  <si>
    <t>UD 36</t>
  </si>
  <si>
    <t>UD 40</t>
  </si>
  <si>
    <t>XXL JUGS 1</t>
  </si>
  <si>
    <t>UD 45</t>
  </si>
  <si>
    <t>XXXL JUGS 1</t>
  </si>
  <si>
    <t>UD 50</t>
  </si>
  <si>
    <t>XL ROUND LEDGE</t>
  </si>
  <si>
    <t>UD 41</t>
  </si>
  <si>
    <t>MIXED LEDGE</t>
  </si>
  <si>
    <t>UD 42</t>
  </si>
  <si>
    <t>XL INCUT LEDGE</t>
  </si>
  <si>
    <t>UD 43</t>
  </si>
  <si>
    <t>4XL FEATURE</t>
  </si>
  <si>
    <t>UD 70</t>
  </si>
  <si>
    <t>MONSTER 2</t>
  </si>
  <si>
    <t>UD 66</t>
  </si>
  <si>
    <t>MONSTER 4</t>
  </si>
  <si>
    <t>UD 68</t>
  </si>
  <si>
    <t>FANGS PU</t>
  </si>
  <si>
    <r>
      <rPr>
        <b/>
        <sz val="15"/>
        <color theme="1"/>
        <rFont val="Calibri"/>
        <family val="2"/>
      </rPr>
      <t xml:space="preserve">XXXS       </t>
    </r>
    <r>
      <rPr>
        <b/>
        <sz val="11"/>
        <color theme="1"/>
        <rFont val="Calibri"/>
        <family val="2"/>
      </rPr>
      <t>TINY INCUT EDGES</t>
    </r>
  </si>
  <si>
    <r>
      <rPr>
        <b/>
        <sz val="15"/>
        <color theme="1"/>
        <rFont val="Calibri"/>
        <family val="2"/>
      </rPr>
      <t xml:space="preserve">XXS 1 </t>
    </r>
    <r>
      <rPr>
        <b/>
        <sz val="11"/>
        <color theme="1"/>
        <rFont val="Calibri"/>
        <family val="2"/>
      </rPr>
      <t xml:space="preserve">        JUST THERE POSITIVE EDGES</t>
    </r>
  </si>
  <si>
    <r>
      <rPr>
        <b/>
        <sz val="15"/>
        <color theme="1"/>
        <rFont val="Calibri"/>
        <family val="2"/>
      </rPr>
      <t>XXS 2</t>
    </r>
    <r>
      <rPr>
        <b/>
        <sz val="11"/>
        <color theme="1"/>
        <rFont val="Calibri"/>
        <family val="2"/>
      </rPr>
      <t xml:space="preserve">         SLOPING EDGES</t>
    </r>
  </si>
  <si>
    <t>XS FLAT JIBS</t>
  </si>
  <si>
    <t>UC 05</t>
  </si>
  <si>
    <r>
      <rPr>
        <b/>
        <sz val="15"/>
        <color theme="1"/>
        <rFont val="Calibri"/>
        <family val="2"/>
      </rPr>
      <t xml:space="preserve">SMALL </t>
    </r>
    <r>
      <rPr>
        <b/>
        <sz val="11"/>
        <color theme="1"/>
        <rFont val="Calibri"/>
        <family val="2"/>
      </rPr>
      <t>MIXED INCUT AND SLOPING EDGES</t>
    </r>
  </si>
  <si>
    <t>UC 70</t>
  </si>
  <si>
    <r>
      <rPr>
        <b/>
        <sz val="15"/>
        <color theme="1"/>
        <rFont val="Calibri"/>
        <family val="2"/>
      </rPr>
      <t xml:space="preserve">MEDIUM </t>
    </r>
    <r>
      <rPr>
        <b/>
        <sz val="11"/>
        <color theme="1"/>
        <rFont val="Calibri"/>
        <family val="2"/>
      </rPr>
      <t>MIXED INCUT AND SLOPING EDGES</t>
    </r>
  </si>
  <si>
    <t>UC 71</t>
  </si>
  <si>
    <t>UC 72</t>
  </si>
  <si>
    <t>UC 73</t>
  </si>
  <si>
    <t>LARGE 3</t>
  </si>
  <si>
    <t>UF 77</t>
  </si>
  <si>
    <t>XL</t>
  </si>
  <si>
    <t>UC 74</t>
  </si>
  <si>
    <t>UF 76</t>
  </si>
  <si>
    <t>XXL</t>
  </si>
  <si>
    <t>UC 75</t>
  </si>
  <si>
    <t>LOAVES</t>
  </si>
  <si>
    <t>FOOT JIBS</t>
  </si>
  <si>
    <t>UL 01</t>
  </si>
  <si>
    <t>UL 02</t>
  </si>
  <si>
    <t>SM DEEP FEET</t>
  </si>
  <si>
    <t>UL 03</t>
  </si>
  <si>
    <t>MICRO JIBS 1</t>
  </si>
  <si>
    <t>UL 04</t>
  </si>
  <si>
    <t>THIN JIBS SM</t>
  </si>
  <si>
    <t>UL 05</t>
  </si>
  <si>
    <t>THIN JIBS LG</t>
  </si>
  <si>
    <t>UL 06</t>
  </si>
  <si>
    <r>
      <rPr>
        <b/>
        <sz val="11"/>
        <color theme="1"/>
        <rFont val="Calibri"/>
        <family val="2"/>
      </rPr>
      <t>XS MIXED EDGES</t>
    </r>
    <r>
      <rPr>
        <b/>
        <sz val="10"/>
        <color theme="1"/>
        <rFont val="Calibri"/>
        <family val="2"/>
      </rPr>
      <t xml:space="preserve"> </t>
    </r>
    <r>
      <rPr>
        <b/>
        <i/>
        <sz val="9"/>
        <color theme="1"/>
        <rFont val="Calibri"/>
        <family val="2"/>
      </rPr>
      <t>(SLOPERS TO INCUTS)</t>
    </r>
  </si>
  <si>
    <t>UL 10</t>
  </si>
  <si>
    <t>LG DEEP FEET</t>
  </si>
  <si>
    <t>UL 11</t>
  </si>
  <si>
    <r>
      <rPr>
        <b/>
        <sz val="11"/>
        <color theme="1"/>
        <rFont val="Calibri"/>
        <family val="2"/>
      </rPr>
      <t xml:space="preserve">SMALL MIXED EDGES  </t>
    </r>
    <r>
      <rPr>
        <b/>
        <i/>
        <sz val="9"/>
        <color theme="1"/>
        <rFont val="Calibri"/>
        <family val="2"/>
      </rPr>
      <t>(SLOPERS TO INCUTS)</t>
    </r>
  </si>
  <si>
    <t>UL 15</t>
  </si>
  <si>
    <t>XS PATCH</t>
  </si>
  <si>
    <t>UL 16</t>
  </si>
  <si>
    <t>SMALL JUGS</t>
  </si>
  <si>
    <t>UL 17</t>
  </si>
  <si>
    <r>
      <rPr>
        <b/>
        <sz val="11"/>
        <color theme="1"/>
        <rFont val="Calibri"/>
        <family val="2"/>
      </rPr>
      <t xml:space="preserve">MEDIUM EDGES  </t>
    </r>
    <r>
      <rPr>
        <b/>
        <i/>
        <sz val="9"/>
        <color theme="1"/>
        <rFont val="Calibri"/>
        <family val="2"/>
      </rPr>
      <t>(SLOPERS TO INCUTS)</t>
    </r>
  </si>
  <si>
    <t>UL 20</t>
  </si>
  <si>
    <t>MEDIUM PATCHES</t>
  </si>
  <si>
    <t>UL 22</t>
  </si>
  <si>
    <r>
      <rPr>
        <b/>
        <sz val="11"/>
        <color theme="1"/>
        <rFont val="Calibri"/>
        <family val="2"/>
      </rPr>
      <t xml:space="preserve">LARGE MIXED EDGES  </t>
    </r>
    <r>
      <rPr>
        <b/>
        <i/>
        <sz val="9"/>
        <color theme="1"/>
        <rFont val="Calibri"/>
        <family val="2"/>
      </rPr>
      <t>(SLOPERS TO INCUTS)</t>
    </r>
  </si>
  <si>
    <t>UL 25</t>
  </si>
  <si>
    <t>LG PATCH</t>
  </si>
  <si>
    <t>UL 26</t>
  </si>
  <si>
    <r>
      <rPr>
        <b/>
        <sz val="11"/>
        <color theme="1"/>
        <rFont val="Calibri"/>
        <family val="2"/>
      </rPr>
      <t xml:space="preserve">XL MIXED EDGES FROM  </t>
    </r>
    <r>
      <rPr>
        <b/>
        <i/>
        <sz val="9"/>
        <color theme="1"/>
        <rFont val="Calibri"/>
        <family val="2"/>
      </rPr>
      <t>(SLOPERS TO INCUTS)</t>
    </r>
  </si>
  <si>
    <t>UL 30</t>
  </si>
  <si>
    <t>XXL 1 INCUT EDGES</t>
  </si>
  <si>
    <t>UL 35</t>
  </si>
  <si>
    <r>
      <rPr>
        <b/>
        <sz val="11"/>
        <color theme="1"/>
        <rFont val="Calibri"/>
        <family val="2"/>
      </rPr>
      <t xml:space="preserve">XXL 2 </t>
    </r>
    <r>
      <rPr>
        <b/>
        <i/>
        <sz val="9"/>
        <color theme="1"/>
        <rFont val="Calibri"/>
        <family val="2"/>
      </rPr>
      <t>SLOPING EDGES</t>
    </r>
  </si>
  <si>
    <t>UL 40</t>
  </si>
  <si>
    <r>
      <rPr>
        <b/>
        <sz val="11"/>
        <color theme="1"/>
        <rFont val="Calibri"/>
        <family val="2"/>
      </rPr>
      <t xml:space="preserve">XXXL MIXED </t>
    </r>
    <r>
      <rPr>
        <b/>
        <i/>
        <sz val="9"/>
        <color theme="1"/>
        <rFont val="Calibri"/>
        <family val="2"/>
      </rPr>
      <t xml:space="preserve"> (SLOPERS TO INCUTS)</t>
    </r>
  </si>
  <si>
    <t>UL 45</t>
  </si>
  <si>
    <t>4 XL 1       JUGS</t>
  </si>
  <si>
    <t>UL 50</t>
  </si>
  <si>
    <t>4 XL 2         ROUNDED JUGS</t>
  </si>
  <si>
    <t>UL 55</t>
  </si>
  <si>
    <t>4 XL 3          ROUNDED JUGS</t>
  </si>
  <si>
    <t>UL 60</t>
  </si>
  <si>
    <t>4 XL 4         ROUNDED EDGES</t>
  </si>
  <si>
    <t>UL 65</t>
  </si>
  <si>
    <t>ROCK LINE</t>
  </si>
  <si>
    <t>DUAL MEDIUM FEET</t>
  </si>
  <si>
    <t>URL 08</t>
  </si>
  <si>
    <t>DUAL MEDIUM EDGE</t>
  </si>
  <si>
    <t>URL 15</t>
  </si>
  <si>
    <t>URL 01</t>
  </si>
  <si>
    <t>URL 80</t>
  </si>
  <si>
    <t>URL 02</t>
  </si>
  <si>
    <t>URL 05</t>
  </si>
  <si>
    <t>MED JIBS</t>
  </si>
  <si>
    <t>URL 06</t>
  </si>
  <si>
    <t>URL 07</t>
  </si>
  <si>
    <t>MED FEET</t>
  </si>
  <si>
    <t>URL 09</t>
  </si>
  <si>
    <t>SMALL EDGES</t>
  </si>
  <si>
    <t>URL 10</t>
  </si>
  <si>
    <t>SM DEEP EDGE</t>
  </si>
  <si>
    <t>URL 11</t>
  </si>
  <si>
    <t>SMALL EDGE 2</t>
  </si>
  <si>
    <t>URL 12</t>
  </si>
  <si>
    <t>SM STEEP EDGE</t>
  </si>
  <si>
    <t>URL 13</t>
  </si>
  <si>
    <t>LG FIN EDGE</t>
  </si>
  <si>
    <t>URL 14</t>
  </si>
  <si>
    <t>URL 20</t>
  </si>
  <si>
    <t>MED EDGE 2</t>
  </si>
  <si>
    <t>URL 21</t>
  </si>
  <si>
    <t>MED EDGE 3</t>
  </si>
  <si>
    <t>URL 22</t>
  </si>
  <si>
    <t>MED LONG EDGE</t>
  </si>
  <si>
    <t>URL 24</t>
  </si>
  <si>
    <t>MEDIUM FLAKES</t>
  </si>
  <si>
    <t>URL 25</t>
  </si>
  <si>
    <t>LG SLOPE EDGE</t>
  </si>
  <si>
    <t>URL 30</t>
  </si>
  <si>
    <t>LG EDGE 1</t>
  </si>
  <si>
    <t>URL 31</t>
  </si>
  <si>
    <t>LG LONG EDGE</t>
  </si>
  <si>
    <t>URL 33</t>
  </si>
  <si>
    <t>LG LOW PINCH</t>
  </si>
  <si>
    <t>URL 34</t>
  </si>
  <si>
    <t>LG FLAKES</t>
  </si>
  <si>
    <t>URL 35</t>
  </si>
  <si>
    <t>XL PINCHES</t>
  </si>
  <si>
    <t>URL 40</t>
  </si>
  <si>
    <t>XL PINCHES 1</t>
  </si>
  <si>
    <t>URL 41</t>
  </si>
  <si>
    <t>XL SLOPE EDGE</t>
  </si>
  <si>
    <t>URL 50</t>
  </si>
  <si>
    <t>XL LONG EDGE</t>
  </si>
  <si>
    <t>URL 51</t>
  </si>
  <si>
    <t>SM JUGS</t>
  </si>
  <si>
    <t>URL 60</t>
  </si>
  <si>
    <t>URL 61</t>
  </si>
  <si>
    <t>URL 62</t>
  </si>
  <si>
    <t xml:space="preserve">LG JUGS </t>
  </si>
  <si>
    <t>URL 65</t>
  </si>
  <si>
    <t>URL 66</t>
  </si>
  <si>
    <t>SMOOTH LINE POCKETS</t>
  </si>
  <si>
    <t>FEET</t>
  </si>
  <si>
    <t>UP 01</t>
  </si>
  <si>
    <t>SMALL</t>
  </si>
  <si>
    <t>UP 05</t>
  </si>
  <si>
    <t>MEDIUM</t>
  </si>
  <si>
    <t>UP 10</t>
  </si>
  <si>
    <t>LARGE SLOTS</t>
  </si>
  <si>
    <t>UP 15</t>
  </si>
  <si>
    <t xml:space="preserve">LARGE </t>
  </si>
  <si>
    <t>UP 20</t>
  </si>
  <si>
    <t>LARGE 2 INCUT POCKETS</t>
  </si>
  <si>
    <t>UP 21</t>
  </si>
  <si>
    <t>XL SLOTS</t>
  </si>
  <si>
    <t>UP 25</t>
  </si>
  <si>
    <t xml:space="preserve">XL </t>
  </si>
  <si>
    <t>UP 30</t>
  </si>
  <si>
    <t>UP 31</t>
  </si>
  <si>
    <t>UP 32</t>
  </si>
  <si>
    <t>XL 4 INCUT POCKETS</t>
  </si>
  <si>
    <t>UP 33</t>
  </si>
  <si>
    <t>FEATURE 1</t>
  </si>
  <si>
    <t>UP 40</t>
  </si>
  <si>
    <t>FEATURE 2</t>
  </si>
  <si>
    <t>UP 41</t>
  </si>
  <si>
    <t>FEATURE 3</t>
  </si>
  <si>
    <t>UP 42</t>
  </si>
  <si>
    <t>USL 01</t>
  </si>
  <si>
    <t>SMALL FOOT SPIKES</t>
  </si>
  <si>
    <t>USL 02</t>
  </si>
  <si>
    <t>USL 03</t>
  </si>
  <si>
    <t>USL 04</t>
  </si>
  <si>
    <t>MEDIUM FEET</t>
  </si>
  <si>
    <t>USL 06</t>
  </si>
  <si>
    <t>LARGE FEET</t>
  </si>
  <si>
    <t>USL 07</t>
  </si>
  <si>
    <t>SMALL FLAT EDGES</t>
  </si>
  <si>
    <t>USL 10</t>
  </si>
  <si>
    <t>SMALL ROUND INCUTS</t>
  </si>
  <si>
    <t>USL 11</t>
  </si>
  <si>
    <t>SMALL FLARED INCUTS</t>
  </si>
  <si>
    <t>USL 12</t>
  </si>
  <si>
    <t>MED SLOPER FEET</t>
  </si>
  <si>
    <t>USL 05</t>
  </si>
  <si>
    <t>MED FLAT EDGES</t>
  </si>
  <si>
    <t>USL 15</t>
  </si>
  <si>
    <t>MEDIUM LOW PINCH</t>
  </si>
  <si>
    <t>USL 16</t>
  </si>
  <si>
    <t>MEDIUM INCUT EDGE</t>
  </si>
  <si>
    <t>USL 17</t>
  </si>
  <si>
    <t>LG ROUND EDGE</t>
  </si>
  <si>
    <t>USL 20</t>
  </si>
  <si>
    <t>LG DIMPLE EDGE</t>
  </si>
  <si>
    <t>USL 21</t>
  </si>
  <si>
    <t>LG ROUND INCUT EDGE</t>
  </si>
  <si>
    <t>USL 22</t>
  </si>
  <si>
    <t>LG DEEP INCUT EDGES</t>
  </si>
  <si>
    <t>USL 23</t>
  </si>
  <si>
    <t>LG ROUND LEDGE</t>
  </si>
  <si>
    <t>USL 60</t>
  </si>
  <si>
    <t>USL 30</t>
  </si>
  <si>
    <t>USL 40</t>
  </si>
  <si>
    <t>USL 41</t>
  </si>
  <si>
    <t>LARGE PINCHES</t>
  </si>
  <si>
    <t>USL 79</t>
  </si>
  <si>
    <t xml:space="preserve">USL 80 </t>
  </si>
  <si>
    <t>XXL PINCHES</t>
  </si>
  <si>
    <t>USL 85</t>
  </si>
  <si>
    <t>MEDIUM JUGS</t>
  </si>
  <si>
    <t>USL 52</t>
  </si>
  <si>
    <t>USL 50</t>
  </si>
  <si>
    <t>USL 51</t>
  </si>
  <si>
    <t>XL JUGS 1      ROOF</t>
  </si>
  <si>
    <t>USL 55</t>
  </si>
  <si>
    <t>XL JUGS 2      ROOF</t>
  </si>
  <si>
    <t>USL 56</t>
  </si>
  <si>
    <t>XL JUGS 3 ROOF</t>
  </si>
  <si>
    <t>USL 48</t>
  </si>
  <si>
    <t>XXL JUGS 1     ROOF</t>
  </si>
  <si>
    <t>USL 57</t>
  </si>
  <si>
    <t>XXL JUGS 2 ROOF</t>
  </si>
  <si>
    <t>USL 49</t>
  </si>
  <si>
    <t>XXXL JUGS 1 ROOF</t>
  </si>
  <si>
    <t>USL 58</t>
  </si>
  <si>
    <t>XL LEDGES 1</t>
  </si>
  <si>
    <t>USL 65</t>
  </si>
  <si>
    <t>XL LEDGES 2</t>
  </si>
  <si>
    <t>USL 66</t>
  </si>
  <si>
    <t>XXL LEDGES 1</t>
  </si>
  <si>
    <t>USL 70</t>
  </si>
  <si>
    <t>XXL LEDGES 2</t>
  </si>
  <si>
    <t>USL 71</t>
  </si>
  <si>
    <t>XXXL LEDGES 1</t>
  </si>
  <si>
    <t>USL 75</t>
  </si>
  <si>
    <r>
      <rPr>
        <b/>
        <sz val="26"/>
        <color theme="1"/>
        <rFont val="Calibri"/>
        <family val="2"/>
      </rPr>
      <t>FIBERGLASS</t>
    </r>
    <r>
      <rPr>
        <b/>
        <sz val="26"/>
        <color theme="1"/>
        <rFont val="Calibri"/>
        <family val="2"/>
      </rPr>
      <t xml:space="preserve"> DUAL TEX</t>
    </r>
  </si>
  <si>
    <t>HOLD SIZE</t>
  </si>
  <si>
    <t>UNITS</t>
  </si>
  <si>
    <t xml:space="preserve">Pack of 8 Pinches. </t>
  </si>
  <si>
    <t>Pinch 1</t>
  </si>
  <si>
    <t>40 x 28</t>
  </si>
  <si>
    <t>W1</t>
  </si>
  <si>
    <t>Pinch 2</t>
  </si>
  <si>
    <t>40 x 20 x 13</t>
  </si>
  <si>
    <t>W2</t>
  </si>
  <si>
    <t>Pinch 3</t>
  </si>
  <si>
    <t>40 x 20 x 10</t>
  </si>
  <si>
    <t>W3</t>
  </si>
  <si>
    <t>Pinch 4</t>
  </si>
  <si>
    <t>38 x 20 x 8</t>
  </si>
  <si>
    <t>W4</t>
  </si>
  <si>
    <t>Pinch 5</t>
  </si>
  <si>
    <t>W5</t>
  </si>
  <si>
    <t>Pinch 6</t>
  </si>
  <si>
    <t>W6</t>
  </si>
  <si>
    <t>Pinch 7</t>
  </si>
  <si>
    <t>W7</t>
  </si>
  <si>
    <t>Pinch 8</t>
  </si>
  <si>
    <t>W8</t>
  </si>
  <si>
    <t xml:space="preserve">Pack of  13 Commas </t>
  </si>
  <si>
    <t>10% discount</t>
  </si>
  <si>
    <t>Comma Sloper 1 Juggy Sloper</t>
  </si>
  <si>
    <t>48 x 24 x 13</t>
  </si>
  <si>
    <t>C1</t>
  </si>
  <si>
    <t>Comma Sloper 2 Edge</t>
  </si>
  <si>
    <t>50 x 24 x 13</t>
  </si>
  <si>
    <t>C2</t>
  </si>
  <si>
    <t>Comma Sloper 3  Rounded Jug</t>
  </si>
  <si>
    <t>90 x 40 x 16</t>
  </si>
  <si>
    <t>C3</t>
  </si>
  <si>
    <t>Comma Sloper 4 Sloping Jug</t>
  </si>
  <si>
    <t>80 x 38 x 18</t>
  </si>
  <si>
    <t>C4</t>
  </si>
  <si>
    <t>Comma Sloper 5  Rounded Jug</t>
  </si>
  <si>
    <t>83 x 35 x 18</t>
  </si>
  <si>
    <t>C5</t>
  </si>
  <si>
    <t>Comma Sloper 6 Round Sloper</t>
  </si>
  <si>
    <t>82 X 30 X 12</t>
  </si>
  <si>
    <t>C6</t>
  </si>
  <si>
    <t>Comma Sloper 7 Rounded Jug</t>
  </si>
  <si>
    <t>80 X 36 X 14</t>
  </si>
  <si>
    <t>C7</t>
  </si>
  <si>
    <t>Comma Sloper 8  Hard Sloper</t>
  </si>
  <si>
    <t>78 x 40 x 12</t>
  </si>
  <si>
    <t>C8</t>
  </si>
  <si>
    <t>Comma Sloper 9 Flat Sloper</t>
  </si>
  <si>
    <t>50 x 24,5 x13</t>
  </si>
  <si>
    <t>C9</t>
  </si>
  <si>
    <t>Comma Sloper 10  Hard Edge</t>
  </si>
  <si>
    <t>74 x 30 x 13</t>
  </si>
  <si>
    <t>C10</t>
  </si>
  <si>
    <t>Comma Sloper 11  Sloper</t>
  </si>
  <si>
    <t>70 x 30 x 12</t>
  </si>
  <si>
    <t>C11</t>
  </si>
  <si>
    <t>Comma Sloper 12  Edge</t>
  </si>
  <si>
    <t>84 X 34 X 13</t>
  </si>
  <si>
    <t>C12</t>
  </si>
  <si>
    <t>Comma Sloper 13 Edge</t>
  </si>
  <si>
    <t>C13</t>
  </si>
  <si>
    <t>Pack of 18 FANGS</t>
  </si>
  <si>
    <t>12% discount</t>
  </si>
  <si>
    <t>Fang Edge 1</t>
  </si>
  <si>
    <t>49 X 10 X 6</t>
  </si>
  <si>
    <t>T1</t>
  </si>
  <si>
    <t>Fang Edge 2</t>
  </si>
  <si>
    <t>63 X 10 X 8</t>
  </si>
  <si>
    <t>T2</t>
  </si>
  <si>
    <t>Fang Edge 3</t>
  </si>
  <si>
    <t>78 X 11 X 9</t>
  </si>
  <si>
    <t>T3</t>
  </si>
  <si>
    <t>Fang Edge 4</t>
  </si>
  <si>
    <t>74 X 16 X 10</t>
  </si>
  <si>
    <t>T7</t>
  </si>
  <si>
    <t>Fang Edge 5</t>
  </si>
  <si>
    <t>95 X 21 X 15</t>
  </si>
  <si>
    <t>T6</t>
  </si>
  <si>
    <t>Fang Edge 6</t>
  </si>
  <si>
    <t>104 X 22 X 12</t>
  </si>
  <si>
    <t>T4</t>
  </si>
  <si>
    <t>Fang Edge 7</t>
  </si>
  <si>
    <t>103 X 26 X 9</t>
  </si>
  <si>
    <t>T5</t>
  </si>
  <si>
    <t>Fang slope 1</t>
  </si>
  <si>
    <t>43 X 12 X 5</t>
  </si>
  <si>
    <t>T8</t>
  </si>
  <si>
    <t>Fang slope 2</t>
  </si>
  <si>
    <t>T9</t>
  </si>
  <si>
    <t>Fang slope 3</t>
  </si>
  <si>
    <t>T10</t>
  </si>
  <si>
    <t>Fang slope 4</t>
  </si>
  <si>
    <t>T11</t>
  </si>
  <si>
    <t>Fang slope 5</t>
  </si>
  <si>
    <t>65 X 17 X 5</t>
  </si>
  <si>
    <t>T12</t>
  </si>
  <si>
    <t>Fang slope 6</t>
  </si>
  <si>
    <t>67 X 19 X 6</t>
  </si>
  <si>
    <t>T13</t>
  </si>
  <si>
    <t>Fang slope 7</t>
  </si>
  <si>
    <t>83 X 25 X 9</t>
  </si>
  <si>
    <t>T14</t>
  </si>
  <si>
    <t>Fang slope 8</t>
  </si>
  <si>
    <t>82 X 25 X 9</t>
  </si>
  <si>
    <t>T16</t>
  </si>
  <si>
    <t>Fang slope 9</t>
  </si>
  <si>
    <t>96 X 27 X 6</t>
  </si>
  <si>
    <t>T15</t>
  </si>
  <si>
    <t>Fang slope 10</t>
  </si>
  <si>
    <t>120 X 26 X 11</t>
  </si>
  <si>
    <t>T17</t>
  </si>
  <si>
    <t>Fang slope 11</t>
  </si>
  <si>
    <t>123 X 28 X 9</t>
  </si>
  <si>
    <t>T18</t>
  </si>
  <si>
    <t>Pack of  15 Tango</t>
  </si>
  <si>
    <t xml:space="preserve">Tango 1 Sloper </t>
  </si>
  <si>
    <t xml:space="preserve"> 40 X 20 X 10</t>
  </si>
  <si>
    <t>S1,</t>
  </si>
  <si>
    <t xml:space="preserve">Tango 2 Sloper </t>
  </si>
  <si>
    <t>40 X 20 X 10</t>
  </si>
  <si>
    <t>S2</t>
  </si>
  <si>
    <t xml:space="preserve">Tango 3 Sloper </t>
  </si>
  <si>
    <t>30 X 22 X 10</t>
  </si>
  <si>
    <t>S3</t>
  </si>
  <si>
    <t xml:space="preserve">Tango 4 Sloper </t>
  </si>
  <si>
    <t>S4</t>
  </si>
  <si>
    <t xml:space="preserve">Tango 5 Sloper </t>
  </si>
  <si>
    <t>18 X 25 X 10</t>
  </si>
  <si>
    <t>S5, S6</t>
  </si>
  <si>
    <t xml:space="preserve">Tango 6 Sloper </t>
  </si>
  <si>
    <t>S6</t>
  </si>
  <si>
    <t xml:space="preserve">Tango 7 Sloper </t>
  </si>
  <si>
    <t xml:space="preserve">30 X 22 X 10 </t>
  </si>
  <si>
    <t>S7</t>
  </si>
  <si>
    <t xml:space="preserve">Tango 8 Sloper </t>
  </si>
  <si>
    <t>S8</t>
  </si>
  <si>
    <t xml:space="preserve">Tango 9 Sloper </t>
  </si>
  <si>
    <t>20 X 26 X 8</t>
  </si>
  <si>
    <t>S9</t>
  </si>
  <si>
    <t xml:space="preserve">Tango 10 Sloper </t>
  </si>
  <si>
    <t>S10</t>
  </si>
  <si>
    <t xml:space="preserve">Tango 11 Sloper </t>
  </si>
  <si>
    <t>30 X 19 X 10</t>
  </si>
  <si>
    <t>S11</t>
  </si>
  <si>
    <t xml:space="preserve">Tango 12 Sloper </t>
  </si>
  <si>
    <t>S12</t>
  </si>
  <si>
    <t>Tango Jug 13</t>
  </si>
  <si>
    <t>36 X 24 X 14</t>
  </si>
  <si>
    <t>Tango Jug 14</t>
  </si>
  <si>
    <t>S14</t>
  </si>
  <si>
    <t>Tango Jug 15</t>
  </si>
  <si>
    <t>S15</t>
  </si>
  <si>
    <t>THERMO PLASTIC MACROS  (USA Prod)</t>
  </si>
  <si>
    <t>PRICE 1</t>
  </si>
  <si>
    <t>DUAL</t>
  </si>
  <si>
    <t>White 9001</t>
  </si>
  <si>
    <t>Green 6038</t>
  </si>
  <si>
    <t>Green 6029</t>
  </si>
  <si>
    <t>Pink 4003</t>
  </si>
  <si>
    <t>Pack of 18 Hard boiled Painted DUAL TEX</t>
  </si>
  <si>
    <t>Hardboiled 1</t>
  </si>
  <si>
    <t>UHB-043</t>
  </si>
  <si>
    <t>Hardboiled 2</t>
  </si>
  <si>
    <t>UHB-044</t>
  </si>
  <si>
    <t>Hardboiled 3</t>
  </si>
  <si>
    <t>UHB-045</t>
  </si>
  <si>
    <t>Hardboiled 4</t>
  </si>
  <si>
    <t>UHB-046</t>
  </si>
  <si>
    <t>Hardboiled 5</t>
  </si>
  <si>
    <t>UHB-047</t>
  </si>
  <si>
    <t>Hardboiled 6</t>
  </si>
  <si>
    <t>UHB-048</t>
  </si>
  <si>
    <t>Hardboiled 7</t>
  </si>
  <si>
    <t>UHB-049</t>
  </si>
  <si>
    <t>Hardboiled 8</t>
  </si>
  <si>
    <t>UHB-050</t>
  </si>
  <si>
    <t>Hardboiled 9</t>
  </si>
  <si>
    <t>UHB-051</t>
  </si>
  <si>
    <t>Hardboiled 10</t>
  </si>
  <si>
    <t>UHB-052</t>
  </si>
  <si>
    <t>Hardboiled 11</t>
  </si>
  <si>
    <t>UHB-053</t>
  </si>
  <si>
    <t>Hardboiled 12</t>
  </si>
  <si>
    <t>UHB-054</t>
  </si>
  <si>
    <t>Hardboiled 13</t>
  </si>
  <si>
    <t>UHB-055</t>
  </si>
  <si>
    <t>Hardboiled 14</t>
  </si>
  <si>
    <t>UHB-056</t>
  </si>
  <si>
    <t>Hardboiled 15</t>
  </si>
  <si>
    <t>UHB-057</t>
  </si>
  <si>
    <t>Hardboiled 16</t>
  </si>
  <si>
    <t>UHB-058</t>
  </si>
  <si>
    <t>Hardboiled 17</t>
  </si>
  <si>
    <t>UHB-059</t>
  </si>
  <si>
    <t>Hardboiled 18</t>
  </si>
  <si>
    <t>UHB-060</t>
  </si>
  <si>
    <t>TOTAL USA Pro</t>
  </si>
  <si>
    <t xml:space="preserve">THERMO PLASTIC MACROS  (Europe Prod ) </t>
  </si>
  <si>
    <t>Price color set 1</t>
  </si>
  <si>
    <t>Color set 1</t>
  </si>
  <si>
    <t>Price color set 2</t>
  </si>
  <si>
    <t>Color set 2</t>
  </si>
  <si>
    <t>WEIGHT (kg)</t>
  </si>
  <si>
    <t>Big Pack DT Originals + Loaves  ( 18 thermoplastics)</t>
  </si>
  <si>
    <t>Pack 6 DT Original (thermoplastics)</t>
  </si>
  <si>
    <t>5% discount</t>
  </si>
  <si>
    <t>Original 1 Dual</t>
  </si>
  <si>
    <t>78 x 32 x 15</t>
  </si>
  <si>
    <t>UCF 01</t>
  </si>
  <si>
    <t>Original 2 Dual</t>
  </si>
  <si>
    <t>74 x 30 x 14</t>
  </si>
  <si>
    <t>UCF 02</t>
  </si>
  <si>
    <t>Original 3 Dual</t>
  </si>
  <si>
    <t>80 x 28 x 16</t>
  </si>
  <si>
    <t>UCF 03</t>
  </si>
  <si>
    <t>Original 4 Dual</t>
  </si>
  <si>
    <t>80 x 26 x 13</t>
  </si>
  <si>
    <t>UCF 04</t>
  </si>
  <si>
    <t>Original 5 Dual</t>
  </si>
  <si>
    <t>69 x 29 x 13</t>
  </si>
  <si>
    <t>UCF 05</t>
  </si>
  <si>
    <t>Original 6 Dual</t>
  </si>
  <si>
    <t>70 x 32 x 16</t>
  </si>
  <si>
    <t>UCF 06</t>
  </si>
  <si>
    <t>LOAVES DT Pack (12 macros )</t>
  </si>
  <si>
    <t>LOAVES 1 Dual</t>
  </si>
  <si>
    <t>78 x 20 x 10</t>
  </si>
  <si>
    <t>UCF 07</t>
  </si>
  <si>
    <t>LOAVES 2 Dual</t>
  </si>
  <si>
    <t>78 x 20 x 9</t>
  </si>
  <si>
    <t>UCF 08</t>
  </si>
  <si>
    <t>LOAVES 3 Dual</t>
  </si>
  <si>
    <t>80 x 19 x 8</t>
  </si>
  <si>
    <t>UCF 09</t>
  </si>
  <si>
    <t>LOAVES 4 Dual</t>
  </si>
  <si>
    <t>50 X 13 X 8</t>
  </si>
  <si>
    <t>UCF 80</t>
  </si>
  <si>
    <t>LOAVES 5 Dual</t>
  </si>
  <si>
    <t>UCF 81</t>
  </si>
  <si>
    <t>LOAVES 6 Dual</t>
  </si>
  <si>
    <t>UCF 82</t>
  </si>
  <si>
    <t>LOAVES 7 Dual</t>
  </si>
  <si>
    <t>68 x 17 x 8</t>
  </si>
  <si>
    <t>UCF 10</t>
  </si>
  <si>
    <t>LOAVES 8 Dual</t>
  </si>
  <si>
    <t>68 x 20 x 9</t>
  </si>
  <si>
    <t>UCF 11</t>
  </si>
  <si>
    <t>LOAVES 9 Dual</t>
  </si>
  <si>
    <t>68 x 19 x 10</t>
  </si>
  <si>
    <t>UCF 12</t>
  </si>
  <si>
    <t>LOAVES 10 Dual</t>
  </si>
  <si>
    <t>66 x 18 x 9</t>
  </si>
  <si>
    <t>UCF 13</t>
  </si>
  <si>
    <t>LOAVES 11 Dual</t>
  </si>
  <si>
    <t>80 x 20 x 10</t>
  </si>
  <si>
    <t>UCF 14</t>
  </si>
  <si>
    <t>LOAVES 12 Dual</t>
  </si>
  <si>
    <t>75 x 20 x 10</t>
  </si>
  <si>
    <t>UCF 15</t>
  </si>
  <si>
    <t xml:space="preserve">Angles DT Pack </t>
  </si>
  <si>
    <t xml:space="preserve">Angle 1 DUAL </t>
  </si>
  <si>
    <t>60 x 46 x 13</t>
  </si>
  <si>
    <t>UCF 16</t>
  </si>
  <si>
    <t xml:space="preserve">Angle 2 DUAL </t>
  </si>
  <si>
    <t>60 x 45 x 12</t>
  </si>
  <si>
    <t>UCF 17</t>
  </si>
  <si>
    <t xml:space="preserve">Angle 3 DUAL </t>
  </si>
  <si>
    <t>60 x 45 x 15</t>
  </si>
  <si>
    <t>UCF 18</t>
  </si>
  <si>
    <t xml:space="preserve">Angle 4 DUAL </t>
  </si>
  <si>
    <t>UCF 19</t>
  </si>
  <si>
    <t xml:space="preserve">Angle 5 DUAL </t>
  </si>
  <si>
    <t>UCF 20</t>
  </si>
  <si>
    <t xml:space="preserve">Angle 6 DUAL </t>
  </si>
  <si>
    <t>58 x 38 x 11</t>
  </si>
  <si>
    <t>UCF 21</t>
  </si>
  <si>
    <t xml:space="preserve">Angle 7 DUAL </t>
  </si>
  <si>
    <t>UCF 22</t>
  </si>
  <si>
    <t xml:space="preserve">Angle 8 DUAL </t>
  </si>
  <si>
    <t>UCF 23</t>
  </si>
  <si>
    <t xml:space="preserve">Angle 9 DUAL </t>
  </si>
  <si>
    <t>55 x 28 x 8 56 x 28 x 9 55 x 23 x 10 58 x 30 x 10</t>
  </si>
  <si>
    <t>UCF 26 UCF 27 UCF 28 UCF 29</t>
  </si>
  <si>
    <t xml:space="preserve">Angle 10 DUAL </t>
  </si>
  <si>
    <t>70 x 70 x 16</t>
  </si>
  <si>
    <t>UCF 30</t>
  </si>
  <si>
    <t xml:space="preserve">Angle 11 DUAL </t>
  </si>
  <si>
    <t>70 x 70 x 17</t>
  </si>
  <si>
    <t>UCF 31</t>
  </si>
  <si>
    <t xml:space="preserve">Angle 12 DUAL </t>
  </si>
  <si>
    <t>110 x 40 x 12</t>
  </si>
  <si>
    <t>UCF 32</t>
  </si>
  <si>
    <t xml:space="preserve">Angle 13 DUAL </t>
  </si>
  <si>
    <t>110 x 50 x 12</t>
  </si>
  <si>
    <t>UCF 33</t>
  </si>
  <si>
    <t xml:space="preserve">Angle 14 DUAL </t>
  </si>
  <si>
    <t>PIC COMING SOON</t>
  </si>
  <si>
    <t>76 x 30 x 13</t>
  </si>
  <si>
    <t>UCF 34</t>
  </si>
  <si>
    <t xml:space="preserve">Angle 15 DUAL </t>
  </si>
  <si>
    <t>75 x 25 x 10</t>
  </si>
  <si>
    <t>UCF 35</t>
  </si>
  <si>
    <t xml:space="preserve">Angle 16 DUAL </t>
  </si>
  <si>
    <t>UCF 36</t>
  </si>
  <si>
    <t xml:space="preserve">Angle 17 DUAL </t>
  </si>
  <si>
    <t>UCF 37</t>
  </si>
  <si>
    <t>Total EU Productions</t>
  </si>
  <si>
    <t>Toal Prices EU Productions+ USA Productions</t>
  </si>
  <si>
    <t>THERMO PLASTIC MACROS FULL TEX ( USA PROD )</t>
  </si>
  <si>
    <t xml:space="preserve">Pack of 18 Hard boiled FULL TEX </t>
  </si>
  <si>
    <t>Total USA Production</t>
  </si>
  <si>
    <t>THERMO PLASTIC MACROS FULL TEX ( EUROPE PROD )</t>
  </si>
  <si>
    <t>FLURO</t>
  </si>
  <si>
    <t xml:space="preserve">Dual </t>
  </si>
  <si>
    <t>PRICE 2</t>
  </si>
  <si>
    <t>Big Pack Originals + Loaves  ( 18 thermoplastics)</t>
  </si>
  <si>
    <t>X`</t>
  </si>
  <si>
    <t>Pack 6 Original (thermoplastics)</t>
  </si>
  <si>
    <t xml:space="preserve">Original 1 </t>
  </si>
  <si>
    <t>Original 2</t>
  </si>
  <si>
    <t>Original 3</t>
  </si>
  <si>
    <t>Original 4</t>
  </si>
  <si>
    <t>Original 5</t>
  </si>
  <si>
    <t>Original 6</t>
  </si>
  <si>
    <t>LOAVES Dual Pack (12 macros )</t>
  </si>
  <si>
    <t>LOAVES 1</t>
  </si>
  <si>
    <t>LOAVES 2</t>
  </si>
  <si>
    <t>LOAVES 3</t>
  </si>
  <si>
    <t>LOAVES 4</t>
  </si>
  <si>
    <t>LOAVES 5</t>
  </si>
  <si>
    <t>LOAVES 6</t>
  </si>
  <si>
    <t>LOAVES 7</t>
  </si>
  <si>
    <t>LOAVES 8</t>
  </si>
  <si>
    <t>LOAVES 9</t>
  </si>
  <si>
    <t>LOAVES 10</t>
  </si>
  <si>
    <t>LOAVES 11</t>
  </si>
  <si>
    <t>LOAVES 12</t>
  </si>
  <si>
    <t>Angles Pack Dual tex</t>
  </si>
  <si>
    <t>Angle 1</t>
  </si>
  <si>
    <t>Angle 2</t>
  </si>
  <si>
    <t>Angle 3</t>
  </si>
  <si>
    <t>Angle 4</t>
  </si>
  <si>
    <t>Angle 5</t>
  </si>
  <si>
    <t>Angle 6</t>
  </si>
  <si>
    <t>Angle 7</t>
  </si>
  <si>
    <t>Angle 8</t>
  </si>
  <si>
    <t>Angle 9</t>
  </si>
  <si>
    <t>Angle 11</t>
  </si>
  <si>
    <t>Angle 12</t>
  </si>
  <si>
    <t>Angle 13</t>
  </si>
  <si>
    <t>Angle 14</t>
  </si>
  <si>
    <t>Angle 15</t>
  </si>
  <si>
    <t>Angle 16</t>
  </si>
  <si>
    <t>Angle 17</t>
  </si>
  <si>
    <t>Angle 18</t>
  </si>
  <si>
    <t>TOTAL EU PRODUCTIONS</t>
  </si>
  <si>
    <t>TOTAL EU+USA PRODUCTIONS</t>
  </si>
  <si>
    <t>SUMMARY</t>
  </si>
  <si>
    <t>KG</t>
  </si>
  <si>
    <t>COST</t>
  </si>
  <si>
    <t>COLOURS</t>
  </si>
  <si>
    <t>ECLIPSE JUGS</t>
  </si>
  <si>
    <t>PU</t>
  </si>
  <si>
    <t>XX</t>
  </si>
  <si>
    <t>EUROPE PRODUCTIONS COLOR</t>
  </si>
  <si>
    <t>ECLIPSE EDGES &amp; SLOPERS</t>
  </si>
  <si>
    <t>BRIGHT YELLOW - RAL 1023</t>
  </si>
  <si>
    <t>TRAFFIC RED - RAL 3020</t>
  </si>
  <si>
    <t>ECLIPSE BLOCKERS</t>
  </si>
  <si>
    <t>SKY BLUE - RAL 5015</t>
  </si>
  <si>
    <t>BLACK - RAL 9005</t>
  </si>
  <si>
    <t>TERRORS DT</t>
  </si>
  <si>
    <t>FLURO ORANGE - RAL 2005</t>
  </si>
  <si>
    <t>FLURO GREEN - PAN. 802C</t>
  </si>
  <si>
    <t>FANGS DT</t>
  </si>
  <si>
    <t>FLURO PINK - PAN. 806C</t>
  </si>
  <si>
    <t>SIGNAL VIOLET - RAL 4008</t>
  </si>
  <si>
    <t>COMMAS DUAL</t>
  </si>
  <si>
    <t xml:space="preserve"> MINT-RAL 6027</t>
  </si>
  <si>
    <t>LIGHT GREEN - RAL 6018</t>
  </si>
  <si>
    <t>COMMAS</t>
  </si>
  <si>
    <t>BURNT ORANGE - US 14-01/ RAL2004</t>
  </si>
  <si>
    <t>US GREEN - US 16-16/ RAL6037</t>
  </si>
  <si>
    <t>PE</t>
  </si>
  <si>
    <t>PURE WHITE - RAL 9001</t>
  </si>
  <si>
    <t>US PURPLE - PAN 267u</t>
  </si>
  <si>
    <t>Boarderline PE</t>
  </si>
  <si>
    <t>FIBREGLASS PRODUCTION COLOR</t>
  </si>
  <si>
    <t>BRIGHT YELLOW - RAL 1018</t>
  </si>
  <si>
    <t>SMOOTH LINE (POCKETS)</t>
  </si>
  <si>
    <t>GREEN - RAL 6001</t>
  </si>
  <si>
    <t>WHITE - RAL 9003</t>
  </si>
  <si>
    <t>SMOOTH LINE (SLOPERS)</t>
  </si>
  <si>
    <t>PURPLE- RAL 4005</t>
  </si>
  <si>
    <t>HARD BOILED DT</t>
  </si>
  <si>
    <t>EUROPE PRODUCTION COLOR (THERMO)</t>
  </si>
  <si>
    <t>DOWN CLIMBING JUGS</t>
  </si>
  <si>
    <t xml:space="preserve">FIBERGLASS DT </t>
  </si>
  <si>
    <t>GRP</t>
  </si>
  <si>
    <t>THERMO DUAL EU PROD</t>
  </si>
  <si>
    <t>VTF</t>
  </si>
  <si>
    <t>FLURO GREEN - RAL 6038</t>
  </si>
  <si>
    <t>FLURO PINK - RAL 3017</t>
  </si>
  <si>
    <t>THERMO FULL TEX EU PROD</t>
  </si>
  <si>
    <t>THERMO DUAL US PROD</t>
  </si>
  <si>
    <t>WHITE - RAL 9001</t>
  </si>
  <si>
    <t>THERMO FULL TEX US PROD</t>
  </si>
  <si>
    <t>US PRODUCTIONS COLOR (THERMO)</t>
  </si>
  <si>
    <t>TOTAL PU SETS PER COLOUR</t>
  </si>
  <si>
    <t>TOTAL PE SETS PER COLOR</t>
  </si>
  <si>
    <t>TOTAL FIBERGLASS SETS PER COLOR</t>
  </si>
  <si>
    <t>TOTAL THERMO SETS PER COLOR</t>
  </si>
  <si>
    <t>GREEN - RAL 6029</t>
  </si>
  <si>
    <t>SHIPPING DETAILS</t>
  </si>
  <si>
    <t>COMPANY NAME</t>
  </si>
  <si>
    <t>TOTAL SETS</t>
  </si>
  <si>
    <t>ADDRESS</t>
  </si>
  <si>
    <t>TOTAL HOLDS</t>
  </si>
  <si>
    <t>PINK-RAL 4003</t>
  </si>
  <si>
    <t>TOTAL WEIGHT</t>
  </si>
  <si>
    <t>TOTAL COST ex VAT</t>
  </si>
  <si>
    <t>Discount</t>
  </si>
  <si>
    <t>POST CODE</t>
  </si>
  <si>
    <t>TOTAL COST with DISCOUNT</t>
  </si>
  <si>
    <t>COUNTRY</t>
  </si>
  <si>
    <t>VAT / GST NUMBER</t>
  </si>
  <si>
    <t>PHONE NUMBER</t>
  </si>
  <si>
    <t>EMAIL</t>
  </si>
  <si>
    <t>YOUR REFERENCE NUMBER</t>
  </si>
  <si>
    <t xml:space="preserve">COLOURS: 2-BRIGHT YELLOW. 5-TRAFFIC RED. 7-SKY BLUE. 10-BLACK. 11-FLURO ORANGE. 12-FLURO GREEN. 13-FLURO PINK. </t>
  </si>
  <si>
    <t>16-SIGNAL VIOLET. 69-LIGHT GREEN. 76-BURNT ORANGE. 77-US GREEN. 79-PURE WHITE. 81-PURPLE</t>
  </si>
  <si>
    <t>ok</t>
  </si>
  <si>
    <t xml:space="preserve">US green  yellow green </t>
  </si>
  <si>
    <t>BURNT ORANGE - US 14-01</t>
  </si>
  <si>
    <t>RAL2004</t>
  </si>
  <si>
    <t>US GREEN - US 16-16</t>
  </si>
  <si>
    <t>RAL6037</t>
  </si>
  <si>
    <t>FIBERGLASS DT COMMAS</t>
  </si>
  <si>
    <t xml:space="preserve">THERMO DUAL </t>
  </si>
  <si>
    <t>X</t>
  </si>
  <si>
    <t xml:space="preserve">THERMO FULL TEX </t>
  </si>
  <si>
    <t>VAT</t>
  </si>
  <si>
    <t>TOTAL ORDER COST</t>
  </si>
  <si>
    <t>10% Discount</t>
  </si>
  <si>
    <t>S13</t>
  </si>
  <si>
    <t>XSB7:B12B7:B17</t>
  </si>
  <si>
    <t xml:space="preserve">PACK OF 13 </t>
  </si>
  <si>
    <t>5% Discount</t>
  </si>
  <si>
    <t>PACK OF 12</t>
  </si>
  <si>
    <t>-</t>
  </si>
  <si>
    <t>PACK OF 14</t>
  </si>
  <si>
    <t>Discount 5%</t>
  </si>
  <si>
    <t>PACK OF 11</t>
  </si>
  <si>
    <t>SET OF 7</t>
  </si>
  <si>
    <t>DISCOUNT 5%</t>
  </si>
  <si>
    <t>SET OF 13</t>
  </si>
  <si>
    <t>SET OF 10</t>
  </si>
  <si>
    <t>M 1     B7:B25     Good Feet</t>
  </si>
  <si>
    <t>PACK OF 19</t>
  </si>
  <si>
    <t>PACK OF 30</t>
  </si>
  <si>
    <t>PACK OF 23</t>
  </si>
  <si>
    <t>PACK OF 33</t>
  </si>
  <si>
    <t>POCKETS- PACK OF 14</t>
  </si>
  <si>
    <t>SMALL FEEB27:B57T</t>
  </si>
  <si>
    <t>SLOPERS- PACK OF 38</t>
  </si>
  <si>
    <t>V2026.FEB</t>
  </si>
  <si>
    <t>UHB 02</t>
  </si>
  <si>
    <t>UHB 03</t>
  </si>
  <si>
    <t>XXS 1 point feet</t>
  </si>
  <si>
    <t>XS Shallow feet</t>
  </si>
  <si>
    <t>URL 26</t>
  </si>
  <si>
    <t>LARGE FLAKES</t>
  </si>
  <si>
    <t>UC 52</t>
  </si>
  <si>
    <t>MAX LENGTH (cm)</t>
  </si>
  <si>
    <t>MAX HEIGHT (cm)</t>
  </si>
  <si>
    <t>UC WOOD 01 FT</t>
  </si>
  <si>
    <t>UC WOOD 02 FT</t>
  </si>
  <si>
    <t>UC WOOD 03 FT</t>
  </si>
  <si>
    <t>UC WOOD 04 FT</t>
  </si>
  <si>
    <t>UC WOOD 05 FT</t>
  </si>
  <si>
    <t>UC1</t>
  </si>
  <si>
    <t>UC2</t>
  </si>
  <si>
    <t>UC3</t>
  </si>
  <si>
    <t>UC4</t>
  </si>
  <si>
    <t>UC5</t>
  </si>
  <si>
    <t>Wood Volume Dual Texture</t>
  </si>
  <si>
    <t>Wood Volume Full TEXTURE</t>
  </si>
  <si>
    <t>UC WOOD 01 DT</t>
  </si>
  <si>
    <t>UC WOOD 02 DT</t>
  </si>
  <si>
    <t>UC WOOD 03 DT</t>
  </si>
  <si>
    <t>UC WOOD 04 DT</t>
  </si>
  <si>
    <t>UC WOOD 05 DT</t>
  </si>
  <si>
    <t>WOOD</t>
  </si>
  <si>
    <t>WOOD VOLUME FULL TEXTURE</t>
  </si>
  <si>
    <t>WOOD VOLUME DUAL TEXTURE</t>
  </si>
  <si>
    <t>RAL 1018</t>
  </si>
  <si>
    <t>RAL 6001</t>
  </si>
  <si>
    <t>RAL 9003</t>
  </si>
  <si>
    <t>RAL 7001</t>
  </si>
  <si>
    <t>WOOD VOLUME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</si>
</sst>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\ [$€-1]"/>
    <numFmt numFmtId="165" formatCode="_-[$€-2]\ * #,##0.00_-;\-[$€-2]\ * #,##0.00_-;_-[$€-2]\ * &quot;-&quot;??_-;_-@"/>
    <numFmt numFmtId="166" formatCode="_-[$$-C09]* #,##0.00_-;\-[$$-C09]* #,##0.00_-;_-[$$-C09]* &quot;-&quot;??_-;_-@"/>
    <numFmt numFmtId="167" formatCode="#,##0\ [$€-1]"/>
    <numFmt numFmtId="168" formatCode="_-[$€-2]\ * #,##0_-;\-[$€-2]\ * #,##0_-;_-[$€-2]\ * &quot;-&quot;??_-;_-@"/>
    <numFmt numFmtId="169" formatCode="_-&quot;$&quot;* #,##0.00_-;\-&quot;$&quot;* #,##0.00_-;_-&quot;$&quot;* &quot;-&quot;??_-;_-@"/>
    <numFmt numFmtId="170" formatCode="_([$€-2]\ * #,##0.00_);_([$€-2]\ * \(#,##0.00\);_([$€-2]\ * &quot;-&quot;??_);_(@_)"/>
    <numFmt numFmtId="171" formatCode="[$€-462]\ #,##0;\-[$€-462]\ #,##0"/>
  </numFmts>
  <fonts count="6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28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sz val="9"/>
      <color theme="1"/>
      <name val="Calibri"/>
      <family val="2"/>
    </font>
    <font>
      <b/>
      <sz val="20"/>
      <color theme="1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sz val="10"/>
      <color rgb="FFFFFFFF"/>
      <name val="Calibri"/>
      <family val="2"/>
    </font>
    <font>
      <sz val="8"/>
      <color theme="1"/>
      <name val="Calibri"/>
      <family val="2"/>
    </font>
    <font>
      <sz val="8"/>
      <color theme="0"/>
      <name val="Calibri"/>
      <family val="2"/>
    </font>
    <font>
      <b/>
      <sz val="26"/>
      <color theme="1"/>
      <name val="Calibri"/>
      <family val="2"/>
    </font>
    <font>
      <sz val="11"/>
      <color theme="0"/>
      <name val="Calibri"/>
      <family val="2"/>
    </font>
    <font>
      <sz val="20"/>
      <color theme="1"/>
      <name val="Calibri"/>
      <family val="2"/>
    </font>
    <font>
      <sz val="20"/>
      <color rgb="FFFFFFFF"/>
      <name val="Calibri"/>
      <family val="2"/>
    </font>
    <font>
      <sz val="20"/>
      <color theme="0"/>
      <name val="Calibri"/>
      <family val="2"/>
    </font>
    <font>
      <b/>
      <sz val="21"/>
      <color theme="1"/>
      <name val="Calibri"/>
      <family val="2"/>
    </font>
    <font>
      <b/>
      <sz val="28"/>
      <color rgb="FFFF0000"/>
      <name val="Calibri"/>
      <family val="2"/>
    </font>
    <font>
      <b/>
      <sz val="20"/>
      <color rgb="FFFFFFFF"/>
      <name val="Calibri"/>
      <family val="2"/>
    </font>
    <font>
      <b/>
      <sz val="20"/>
      <color theme="0"/>
      <name val="Calibri"/>
      <family val="2"/>
    </font>
    <font>
      <b/>
      <sz val="13"/>
      <color theme="1"/>
      <name val="Calibri"/>
      <family val="2"/>
    </font>
    <font>
      <sz val="11"/>
      <color rgb="FFFFFFFF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</font>
    <font>
      <b/>
      <strike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17"/>
      <color theme="1"/>
      <name val="Calibri"/>
      <family val="2"/>
    </font>
    <font>
      <b/>
      <sz val="14"/>
      <color rgb="FFFF0000"/>
      <name val="Calibri"/>
      <family val="2"/>
    </font>
    <font>
      <b/>
      <sz val="14"/>
      <color theme="0"/>
      <name val="Calibri"/>
      <family val="2"/>
    </font>
    <font>
      <b/>
      <sz val="14"/>
      <color rgb="FFFFFFFF"/>
      <name val="Calibri"/>
      <family val="2"/>
    </font>
    <font>
      <b/>
      <sz val="13"/>
      <color rgb="FFFF0000"/>
      <name val="Calibri"/>
      <family val="2"/>
    </font>
    <font>
      <b/>
      <sz val="13"/>
      <color rgb="FFFFFFFF"/>
      <name val="Calibri"/>
      <family val="2"/>
    </font>
    <font>
      <b/>
      <sz val="13"/>
      <color theme="0"/>
      <name val="Calibri"/>
      <family val="2"/>
    </font>
    <font>
      <b/>
      <sz val="16"/>
      <color theme="1"/>
      <name val="Calibri"/>
      <family val="2"/>
    </font>
    <font>
      <b/>
      <sz val="18"/>
      <color theme="1"/>
      <name val="Calibri"/>
      <family val="2"/>
    </font>
    <font>
      <sz val="13"/>
      <color rgb="FFFF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</font>
    <font>
      <b/>
      <sz val="10"/>
      <color rgb="FFFF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  <scheme val="minor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name val="Calibri"/>
      <scheme val="minor"/>
    </font>
    <font>
      <b/>
      <sz val="16"/>
      <color theme="0"/>
      <name val="Calibri"/>
      <family val="2"/>
    </font>
  </fonts>
  <fills count="4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theme="1"/>
        <bgColor theme="1"/>
      </patternFill>
    </fill>
    <fill>
      <patternFill patternType="solid">
        <fgColor theme="7"/>
        <bgColor theme="7"/>
      </patternFill>
    </fill>
    <fill>
      <patternFill patternType="solid">
        <fgColor rgb="FF66FF66"/>
        <bgColor rgb="FF66FF66"/>
      </patternFill>
    </fill>
    <fill>
      <patternFill patternType="solid">
        <fgColor rgb="FFFF0066"/>
        <bgColor rgb="FFFF0066"/>
      </patternFill>
    </fill>
    <fill>
      <patternFill patternType="solid">
        <fgColor rgb="FFCC00FF"/>
        <bgColor rgb="FFCC00FF"/>
      </patternFill>
    </fill>
    <fill>
      <patternFill patternType="solid">
        <fgColor rgb="FF00FFFF"/>
        <bgColor rgb="FF00FFFF"/>
      </patternFill>
    </fill>
    <fill>
      <patternFill patternType="solid">
        <fgColor rgb="FFA8D08D"/>
        <bgColor rgb="FFA8D08D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7030A0"/>
        <bgColor rgb="FF7030A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rgb="FF000000"/>
        <bgColor rgb="FF000000"/>
      </patternFill>
    </fill>
    <fill>
      <patternFill patternType="solid">
        <fgColor rgb="FFED7D31"/>
        <bgColor rgb="FFED7D31"/>
      </patternFill>
    </fill>
    <fill>
      <patternFill patternType="solid">
        <fgColor rgb="FF70AD47"/>
        <bgColor rgb="FF70AD47"/>
      </patternFill>
    </fill>
    <fill>
      <patternFill patternType="solid">
        <fgColor rgb="FF00FF00"/>
        <bgColor rgb="FF00FF00"/>
      </patternFill>
    </fill>
    <fill>
      <patternFill patternType="solid">
        <fgColor rgb="FF38761D"/>
        <bgColor rgb="FF38761D"/>
      </patternFill>
    </fill>
    <fill>
      <patternFill patternType="solid">
        <fgColor rgb="FFD64988"/>
        <bgColor rgb="FFD64988"/>
      </patternFill>
    </fill>
    <fill>
      <patternFill patternType="solid">
        <fgColor rgb="FFFF66FF"/>
        <bgColor rgb="FFFF66FF"/>
      </patternFill>
    </fill>
    <fill>
      <patternFill patternType="solid">
        <fgColor rgb="FF66FFFF"/>
        <bgColor rgb="FF66FFFF"/>
      </patternFill>
    </fill>
    <fill>
      <patternFill patternType="solid">
        <fgColor rgb="FF7BE6DD"/>
        <bgColor rgb="FF7BE6DD"/>
      </patternFill>
    </fill>
    <fill>
      <patternFill patternType="solid">
        <fgColor rgb="FF9900FF"/>
        <bgColor rgb="FF9900FF"/>
      </patternFill>
    </fill>
    <fill>
      <patternFill patternType="solid">
        <fgColor rgb="FFFF9900"/>
        <bgColor rgb="FFFF9900"/>
      </patternFill>
    </fill>
    <fill>
      <patternFill patternType="solid">
        <fgColor rgb="FF844C82"/>
        <bgColor rgb="FF844C82"/>
      </patternFill>
    </fill>
    <fill>
      <patternFill patternType="solid">
        <fgColor theme="4"/>
        <bgColor theme="4"/>
      </patternFill>
    </fill>
    <fill>
      <patternFill patternType="solid">
        <fgColor rgb="FFBFBFBF"/>
        <bgColor rgb="FFBFBFBF"/>
      </patternFill>
    </fill>
    <fill>
      <patternFill patternType="solid">
        <fgColor rgb="FF0E0E10"/>
        <bgColor rgb="FF0E0E10"/>
      </patternFill>
    </fill>
    <fill>
      <patternFill patternType="solid">
        <fgColor rgb="FFFEF2CB"/>
        <bgColor rgb="FFFEF2CB"/>
      </patternFill>
    </fill>
    <fill>
      <patternFill patternType="solid">
        <fgColor rgb="FFFDA97B"/>
        <bgColor rgb="FFFDA97B"/>
      </patternFill>
    </fill>
    <fill>
      <patternFill patternType="solid">
        <fgColor rgb="FFD3B1D1"/>
        <bgColor rgb="FFD3B1D1"/>
      </patternFill>
    </fill>
    <fill>
      <patternFill patternType="solid">
        <fgColor rgb="FFB4C6E7"/>
        <bgColor rgb="FFB4C6E7"/>
      </patternFill>
    </fill>
    <fill>
      <patternFill patternType="solid">
        <fgColor rgb="FFBFDEAA"/>
        <bgColor rgb="FFBFDEAA"/>
      </patternFill>
    </fill>
    <fill>
      <patternFill patternType="solid">
        <fgColor rgb="FFECECEC"/>
        <bgColor rgb="FFECECEC"/>
      </patternFill>
    </fill>
    <fill>
      <patternFill patternType="solid">
        <fgColor rgb="FF757070"/>
        <bgColor rgb="FF757070"/>
      </patternFill>
    </fill>
  </fills>
  <borders count="1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5">
    <xf numFmtId="0" fontId="0" fillId="0" borderId="0" xfId="0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3" xfId="0" applyFont="1" applyFill="1" applyBorder="1"/>
    <xf numFmtId="164" fontId="2" fillId="2" borderId="3" xfId="0" applyNumberFormat="1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7" fillId="15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10" borderId="6" xfId="0" applyFont="1" applyFill="1" applyBorder="1" applyAlignment="1">
      <alignment horizontal="center"/>
    </xf>
    <xf numFmtId="0" fontId="5" fillId="11" borderId="6" xfId="0" applyFont="1" applyFill="1" applyBorder="1" applyAlignment="1">
      <alignment horizontal="center"/>
    </xf>
    <xf numFmtId="0" fontId="5" fillId="12" borderId="6" xfId="0" applyFont="1" applyFill="1" applyBorder="1" applyAlignment="1">
      <alignment horizontal="center"/>
    </xf>
    <xf numFmtId="0" fontId="5" fillId="13" borderId="6" xfId="0" applyFont="1" applyFill="1" applyBorder="1" applyAlignment="1">
      <alignment horizontal="center"/>
    </xf>
    <xf numFmtId="0" fontId="5" fillId="16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15" borderId="6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0" fillId="7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1" borderId="5" xfId="0" applyFont="1" applyFill="1" applyBorder="1" applyAlignment="1">
      <alignment horizontal="center" vertical="center"/>
    </xf>
    <xf numFmtId="0" fontId="10" fillId="12" borderId="5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/>
    </xf>
    <xf numFmtId="165" fontId="10" fillId="0" borderId="14" xfId="0" applyNumberFormat="1" applyFont="1" applyBorder="1" applyAlignment="1">
      <alignment vertical="center"/>
    </xf>
    <xf numFmtId="0" fontId="12" fillId="15" borderId="5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3" fillId="11" borderId="5" xfId="0" applyFont="1" applyFill="1" applyBorder="1" applyAlignment="1">
      <alignment horizontal="center" vertical="center"/>
    </xf>
    <xf numFmtId="0" fontId="13" fillId="12" borderId="5" xfId="0" applyFont="1" applyFill="1" applyBorder="1" applyAlignment="1">
      <alignment horizontal="center" vertical="center"/>
    </xf>
    <xf numFmtId="0" fontId="13" fillId="13" borderId="5" xfId="0" applyFont="1" applyFill="1" applyBorder="1" applyAlignment="1">
      <alignment horizontal="center" vertical="center"/>
    </xf>
    <xf numFmtId="0" fontId="13" fillId="14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15" borderId="5" xfId="0" applyFont="1" applyFill="1" applyBorder="1" applyAlignment="1">
      <alignment horizontal="center" vertical="center"/>
    </xf>
    <xf numFmtId="0" fontId="2" fillId="0" borderId="5" xfId="0" applyFont="1" applyBorder="1"/>
    <xf numFmtId="165" fontId="2" fillId="0" borderId="5" xfId="0" applyNumberFormat="1" applyFont="1" applyBorder="1"/>
    <xf numFmtId="0" fontId="5" fillId="2" borderId="3" xfId="0" applyFont="1" applyFill="1" applyBorder="1" applyAlignment="1">
      <alignment horizontal="center"/>
    </xf>
    <xf numFmtId="0" fontId="5" fillId="17" borderId="5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5" borderId="15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5" fillId="7" borderId="16" xfId="0" applyFont="1" applyFill="1" applyBorder="1" applyAlignment="1">
      <alignment vertical="center"/>
    </xf>
    <xf numFmtId="0" fontId="5" fillId="8" borderId="5" xfId="0" applyFont="1" applyFill="1" applyBorder="1" applyAlignment="1">
      <alignment vertical="center"/>
    </xf>
    <xf numFmtId="0" fontId="5" fillId="9" borderId="5" xfId="0" applyFont="1" applyFill="1" applyBorder="1" applyAlignment="1">
      <alignment vertical="center"/>
    </xf>
    <xf numFmtId="0" fontId="5" fillId="10" borderId="5" xfId="0" applyFont="1" applyFill="1" applyBorder="1" applyAlignment="1">
      <alignment vertical="center"/>
    </xf>
    <xf numFmtId="0" fontId="5" fillId="11" borderId="5" xfId="0" applyFont="1" applyFill="1" applyBorder="1" applyAlignment="1">
      <alignment vertical="center"/>
    </xf>
    <xf numFmtId="0" fontId="5" fillId="12" borderId="5" xfId="0" applyFont="1" applyFill="1" applyBorder="1" applyAlignment="1">
      <alignment vertical="center"/>
    </xf>
    <xf numFmtId="0" fontId="5" fillId="13" borderId="5" xfId="0" applyFont="1" applyFill="1" applyBorder="1" applyAlignment="1">
      <alignment vertical="center"/>
    </xf>
    <xf numFmtId="0" fontId="5" fillId="14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6" fillId="15" borderId="5" xfId="0" applyFont="1" applyFill="1" applyBorder="1" applyAlignment="1">
      <alignment vertical="center"/>
    </xf>
    <xf numFmtId="166" fontId="2" fillId="2" borderId="3" xfId="0" applyNumberFormat="1" applyFont="1" applyFill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0" fontId="2" fillId="17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10" borderId="5" xfId="0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14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6" fillId="15" borderId="5" xfId="0" applyFont="1" applyFill="1" applyBorder="1" applyAlignment="1">
      <alignment horizontal="center"/>
    </xf>
    <xf numFmtId="166" fontId="2" fillId="2" borderId="5" xfId="0" applyNumberFormat="1" applyFont="1" applyFill="1" applyBorder="1" applyAlignment="1">
      <alignment horizontal="center"/>
    </xf>
    <xf numFmtId="0" fontId="16" fillId="2" borderId="5" xfId="0" applyFont="1" applyFill="1" applyBorder="1"/>
    <xf numFmtId="0" fontId="16" fillId="2" borderId="3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17" fillId="17" borderId="5" xfId="0" applyFont="1" applyFill="1" applyBorder="1" applyAlignment="1">
      <alignment vertical="center"/>
    </xf>
    <xf numFmtId="0" fontId="17" fillId="4" borderId="5" xfId="0" applyFont="1" applyFill="1" applyBorder="1" applyAlignment="1">
      <alignment vertical="center"/>
    </xf>
    <xf numFmtId="0" fontId="17" fillId="5" borderId="15" xfId="0" applyFont="1" applyFill="1" applyBorder="1" applyAlignment="1">
      <alignment vertical="center"/>
    </xf>
    <xf numFmtId="0" fontId="18" fillId="6" borderId="5" xfId="0" applyFont="1" applyFill="1" applyBorder="1" applyAlignment="1">
      <alignment vertical="center"/>
    </xf>
    <xf numFmtId="0" fontId="17" fillId="7" borderId="16" xfId="0" applyFont="1" applyFill="1" applyBorder="1" applyAlignment="1">
      <alignment vertical="center"/>
    </xf>
    <xf numFmtId="0" fontId="17" fillId="8" borderId="5" xfId="0" applyFont="1" applyFill="1" applyBorder="1" applyAlignment="1">
      <alignment vertical="center"/>
    </xf>
    <xf numFmtId="0" fontId="17" fillId="9" borderId="5" xfId="0" applyFont="1" applyFill="1" applyBorder="1" applyAlignment="1">
      <alignment vertical="center"/>
    </xf>
    <xf numFmtId="0" fontId="17" fillId="10" borderId="5" xfId="0" applyFont="1" applyFill="1" applyBorder="1" applyAlignment="1">
      <alignment vertical="center"/>
    </xf>
    <xf numFmtId="0" fontId="17" fillId="11" borderId="5" xfId="0" applyFont="1" applyFill="1" applyBorder="1" applyAlignment="1">
      <alignment vertical="center"/>
    </xf>
    <xf numFmtId="0" fontId="17" fillId="12" borderId="5" xfId="0" applyFont="1" applyFill="1" applyBorder="1" applyAlignment="1">
      <alignment vertical="center"/>
    </xf>
    <xf numFmtId="0" fontId="17" fillId="13" borderId="5" xfId="0" applyFont="1" applyFill="1" applyBorder="1" applyAlignment="1">
      <alignment vertical="center"/>
    </xf>
    <xf numFmtId="0" fontId="17" fillId="14" borderId="5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9" fillId="15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vertical="center"/>
    </xf>
    <xf numFmtId="0" fontId="2" fillId="0" borderId="0" xfId="0" applyFont="1"/>
    <xf numFmtId="165" fontId="2" fillId="0" borderId="0" xfId="0" applyNumberFormat="1" applyFont="1"/>
    <xf numFmtId="0" fontId="5" fillId="5" borderId="5" xfId="0" applyFont="1" applyFill="1" applyBorder="1" applyAlignment="1">
      <alignment vertical="center"/>
    </xf>
    <xf numFmtId="0" fontId="5" fillId="7" borderId="5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vertical="center"/>
    </xf>
    <xf numFmtId="0" fontId="17" fillId="7" borderId="5" xfId="0" applyFont="1" applyFill="1" applyBorder="1" applyAlignment="1">
      <alignment vertical="center"/>
    </xf>
    <xf numFmtId="0" fontId="18" fillId="15" borderId="5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vertical="center"/>
    </xf>
    <xf numFmtId="0" fontId="17" fillId="17" borderId="24" xfId="0" applyFont="1" applyFill="1" applyBorder="1" applyAlignment="1">
      <alignment vertical="center"/>
    </xf>
    <xf numFmtId="0" fontId="17" fillId="4" borderId="24" xfId="0" applyFont="1" applyFill="1" applyBorder="1" applyAlignment="1">
      <alignment vertical="center"/>
    </xf>
    <xf numFmtId="0" fontId="17" fillId="5" borderId="24" xfId="0" applyFont="1" applyFill="1" applyBorder="1" applyAlignment="1">
      <alignment vertical="center"/>
    </xf>
    <xf numFmtId="0" fontId="19" fillId="6" borderId="24" xfId="0" applyFont="1" applyFill="1" applyBorder="1" applyAlignment="1">
      <alignment vertical="center"/>
    </xf>
    <xf numFmtId="0" fontId="17" fillId="7" borderId="24" xfId="0" applyFont="1" applyFill="1" applyBorder="1" applyAlignment="1">
      <alignment vertical="center"/>
    </xf>
    <xf numFmtId="0" fontId="17" fillId="8" borderId="24" xfId="0" applyFont="1" applyFill="1" applyBorder="1" applyAlignment="1">
      <alignment vertical="center"/>
    </xf>
    <xf numFmtId="0" fontId="17" fillId="9" borderId="24" xfId="0" applyFont="1" applyFill="1" applyBorder="1" applyAlignment="1">
      <alignment vertical="center"/>
    </xf>
    <xf numFmtId="0" fontId="17" fillId="10" borderId="24" xfId="0" applyFont="1" applyFill="1" applyBorder="1" applyAlignment="1">
      <alignment vertical="center"/>
    </xf>
    <xf numFmtId="0" fontId="17" fillId="11" borderId="24" xfId="0" applyFont="1" applyFill="1" applyBorder="1" applyAlignment="1">
      <alignment vertical="center"/>
    </xf>
    <xf numFmtId="0" fontId="17" fillId="12" borderId="24" xfId="0" applyFont="1" applyFill="1" applyBorder="1" applyAlignment="1">
      <alignment vertical="center"/>
    </xf>
    <xf numFmtId="0" fontId="17" fillId="13" borderId="24" xfId="0" applyFont="1" applyFill="1" applyBorder="1" applyAlignment="1">
      <alignment vertical="center"/>
    </xf>
    <xf numFmtId="0" fontId="17" fillId="14" borderId="24" xfId="0" applyFont="1" applyFill="1" applyBorder="1" applyAlignment="1">
      <alignment vertical="center"/>
    </xf>
    <xf numFmtId="0" fontId="17" fillId="2" borderId="24" xfId="0" applyFont="1" applyFill="1" applyBorder="1" applyAlignment="1">
      <alignment vertical="center"/>
    </xf>
    <xf numFmtId="0" fontId="19" fillId="15" borderId="24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165" fontId="2" fillId="2" borderId="25" xfId="0" applyNumberFormat="1" applyFont="1" applyFill="1" applyBorder="1" applyAlignment="1">
      <alignment vertical="center"/>
    </xf>
    <xf numFmtId="4" fontId="2" fillId="2" borderId="3" xfId="0" applyNumberFormat="1" applyFont="1" applyFill="1" applyBorder="1"/>
    <xf numFmtId="0" fontId="5" fillId="2" borderId="2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vertical="center"/>
    </xf>
    <xf numFmtId="0" fontId="21" fillId="2" borderId="5" xfId="0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9" fillId="17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/>
    </xf>
    <xf numFmtId="0" fontId="9" fillId="14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23" fillId="15" borderId="5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65" fontId="24" fillId="2" borderId="5" xfId="0" applyNumberFormat="1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9" fillId="17" borderId="2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23" fillId="6" borderId="24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horizontal="center" vertical="center"/>
    </xf>
    <xf numFmtId="0" fontId="9" fillId="8" borderId="24" xfId="0" applyFont="1" applyFill="1" applyBorder="1" applyAlignment="1">
      <alignment horizontal="center" vertical="center"/>
    </xf>
    <xf numFmtId="0" fontId="9" fillId="9" borderId="24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0" fontId="9" fillId="13" borderId="24" xfId="0" applyFont="1" applyFill="1" applyBorder="1" applyAlignment="1">
      <alignment horizontal="center" vertical="center"/>
    </xf>
    <xf numFmtId="0" fontId="9" fillId="14" borderId="24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23" fillId="15" borderId="24" xfId="0" applyFont="1" applyFill="1" applyBorder="1" applyAlignment="1">
      <alignment horizontal="center" vertical="center"/>
    </xf>
    <xf numFmtId="0" fontId="24" fillId="2" borderId="24" xfId="0" applyFont="1" applyFill="1" applyBorder="1" applyAlignment="1">
      <alignment horizontal="center" vertical="center"/>
    </xf>
    <xf numFmtId="165" fontId="24" fillId="2" borderId="25" xfId="0" applyNumberFormat="1" applyFont="1" applyFill="1" applyBorder="1" applyAlignment="1">
      <alignment horizontal="center" vertical="center"/>
    </xf>
    <xf numFmtId="165" fontId="24" fillId="2" borderId="14" xfId="0" applyNumberFormat="1" applyFont="1" applyFill="1" applyBorder="1" applyAlignment="1">
      <alignment horizontal="center" vertical="center"/>
    </xf>
    <xf numFmtId="0" fontId="2" fillId="18" borderId="3" xfId="0" applyFont="1" applyFill="1" applyBorder="1"/>
    <xf numFmtId="0" fontId="5" fillId="17" borderId="4" xfId="0" applyFont="1" applyFill="1" applyBorder="1" applyAlignment="1">
      <alignment horizontal="center" vertical="center"/>
    </xf>
    <xf numFmtId="0" fontId="2" fillId="18" borderId="5" xfId="0" applyFont="1" applyFill="1" applyBorder="1"/>
    <xf numFmtId="0" fontId="5" fillId="17" borderId="6" xfId="0" applyFont="1" applyFill="1" applyBorder="1" applyAlignment="1">
      <alignment horizontal="center"/>
    </xf>
    <xf numFmtId="0" fontId="8" fillId="18" borderId="6" xfId="0" applyFont="1" applyFill="1" applyBorder="1" applyAlignment="1">
      <alignment horizontal="center"/>
    </xf>
    <xf numFmtId="0" fontId="8" fillId="18" borderId="26" xfId="0" applyFont="1" applyFill="1" applyBorder="1" applyAlignment="1">
      <alignment horizontal="center"/>
    </xf>
    <xf numFmtId="0" fontId="8" fillId="18" borderId="27" xfId="0" applyFont="1" applyFill="1" applyBorder="1" applyAlignment="1">
      <alignment horizontal="center"/>
    </xf>
    <xf numFmtId="167" fontId="2" fillId="18" borderId="3" xfId="0" applyNumberFormat="1" applyFont="1" applyFill="1" applyBorder="1"/>
    <xf numFmtId="0" fontId="5" fillId="0" borderId="5" xfId="0" applyFont="1" applyBorder="1" applyAlignment="1">
      <alignment horizontal="center" vertical="center" wrapText="1"/>
    </xf>
    <xf numFmtId="0" fontId="17" fillId="17" borderId="5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7" fillId="12" borderId="5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9" fillId="15" borderId="5" xfId="0" applyFont="1" applyFill="1" applyBorder="1" applyAlignment="1">
      <alignment horizontal="center" vertical="center"/>
    </xf>
    <xf numFmtId="0" fontId="2" fillId="18" borderId="5" xfId="0" applyFont="1" applyFill="1" applyBorder="1" applyAlignment="1">
      <alignment vertical="center"/>
    </xf>
    <xf numFmtId="165" fontId="2" fillId="18" borderId="14" xfId="0" applyNumberFormat="1" applyFont="1" applyFill="1" applyBorder="1" applyAlignment="1">
      <alignment vertical="center"/>
    </xf>
    <xf numFmtId="0" fontId="18" fillId="6" borderId="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/>
    </xf>
    <xf numFmtId="0" fontId="2" fillId="18" borderId="24" xfId="0" applyFont="1" applyFill="1" applyBorder="1"/>
    <xf numFmtId="165" fontId="2" fillId="18" borderId="24" xfId="0" applyNumberFormat="1" applyFont="1" applyFill="1" applyBorder="1"/>
    <xf numFmtId="0" fontId="9" fillId="2" borderId="3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18" borderId="3" xfId="0" applyFont="1" applyFill="1" applyBorder="1" applyAlignment="1">
      <alignment horizontal="center"/>
    </xf>
    <xf numFmtId="165" fontId="2" fillId="18" borderId="5" xfId="0" applyNumberFormat="1" applyFont="1" applyFill="1" applyBorder="1" applyAlignment="1">
      <alignment vertical="center"/>
    </xf>
    <xf numFmtId="0" fontId="24" fillId="0" borderId="0" xfId="0" applyFont="1"/>
    <xf numFmtId="165" fontId="2" fillId="18" borderId="5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165" fontId="2" fillId="18" borderId="3" xfId="0" applyNumberFormat="1" applyFont="1" applyFill="1" applyBorder="1"/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/>
    </xf>
    <xf numFmtId="0" fontId="17" fillId="17" borderId="30" xfId="0" applyFont="1" applyFill="1" applyBorder="1" applyAlignment="1">
      <alignment horizontal="center" vertical="center"/>
    </xf>
    <xf numFmtId="0" fontId="17" fillId="4" borderId="30" xfId="0" applyFont="1" applyFill="1" applyBorder="1" applyAlignment="1">
      <alignment horizontal="center" vertical="center"/>
    </xf>
    <xf numFmtId="0" fontId="17" fillId="5" borderId="30" xfId="0" applyFont="1" applyFill="1" applyBorder="1" applyAlignment="1">
      <alignment horizontal="center" vertical="center"/>
    </xf>
    <xf numFmtId="0" fontId="19" fillId="6" borderId="30" xfId="0" applyFont="1" applyFill="1" applyBorder="1" applyAlignment="1">
      <alignment horizontal="center" vertical="center"/>
    </xf>
    <xf numFmtId="0" fontId="17" fillId="7" borderId="30" xfId="0" applyFont="1" applyFill="1" applyBorder="1" applyAlignment="1">
      <alignment horizontal="center" vertical="center"/>
    </xf>
    <xf numFmtId="0" fontId="17" fillId="8" borderId="30" xfId="0" applyFont="1" applyFill="1" applyBorder="1" applyAlignment="1">
      <alignment horizontal="center" vertical="center"/>
    </xf>
    <xf numFmtId="0" fontId="17" fillId="9" borderId="30" xfId="0" applyFont="1" applyFill="1" applyBorder="1" applyAlignment="1">
      <alignment horizontal="center" vertical="center"/>
    </xf>
    <xf numFmtId="0" fontId="17" fillId="10" borderId="30" xfId="0" applyFont="1" applyFill="1" applyBorder="1" applyAlignment="1">
      <alignment horizontal="center" vertical="center"/>
    </xf>
    <xf numFmtId="0" fontId="17" fillId="11" borderId="30" xfId="0" applyFont="1" applyFill="1" applyBorder="1" applyAlignment="1">
      <alignment horizontal="center" vertical="center"/>
    </xf>
    <xf numFmtId="0" fontId="17" fillId="12" borderId="30" xfId="0" applyFont="1" applyFill="1" applyBorder="1" applyAlignment="1">
      <alignment horizontal="center" vertical="center"/>
    </xf>
    <xf numFmtId="0" fontId="17" fillId="13" borderId="30" xfId="0" applyFont="1" applyFill="1" applyBorder="1" applyAlignment="1">
      <alignment horizontal="center" vertical="center"/>
    </xf>
    <xf numFmtId="0" fontId="17" fillId="14" borderId="30" xfId="0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/>
    </xf>
    <xf numFmtId="0" fontId="17" fillId="15" borderId="30" xfId="0" applyFont="1" applyFill="1" applyBorder="1" applyAlignment="1">
      <alignment horizontal="center" vertical="center"/>
    </xf>
    <xf numFmtId="0" fontId="2" fillId="18" borderId="30" xfId="0" applyFont="1" applyFill="1" applyBorder="1" applyAlignment="1">
      <alignment vertical="center"/>
    </xf>
    <xf numFmtId="165" fontId="2" fillId="18" borderId="31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17" fillId="15" borderId="5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/>
    </xf>
    <xf numFmtId="0" fontId="17" fillId="17" borderId="34" xfId="0" applyFont="1" applyFill="1" applyBorder="1" applyAlignment="1">
      <alignment horizontal="center" vertical="center"/>
    </xf>
    <xf numFmtId="0" fontId="17" fillId="4" borderId="34" xfId="0" applyFont="1" applyFill="1" applyBorder="1" applyAlignment="1">
      <alignment horizontal="center" vertical="center"/>
    </xf>
    <xf numFmtId="0" fontId="17" fillId="5" borderId="34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7" fillId="19" borderId="34" xfId="0" applyFont="1" applyFill="1" applyBorder="1" applyAlignment="1">
      <alignment horizontal="center" vertical="center"/>
    </xf>
    <xf numFmtId="0" fontId="17" fillId="8" borderId="34" xfId="0" applyFont="1" applyFill="1" applyBorder="1" applyAlignment="1">
      <alignment horizontal="center" vertical="center"/>
    </xf>
    <xf numFmtId="0" fontId="17" fillId="9" borderId="34" xfId="0" applyFont="1" applyFill="1" applyBorder="1" applyAlignment="1">
      <alignment horizontal="center" vertical="center"/>
    </xf>
    <xf numFmtId="0" fontId="17" fillId="10" borderId="34" xfId="0" applyFont="1" applyFill="1" applyBorder="1" applyAlignment="1">
      <alignment horizontal="center" vertical="center"/>
    </xf>
    <xf numFmtId="0" fontId="17" fillId="11" borderId="34" xfId="0" applyFont="1" applyFill="1" applyBorder="1" applyAlignment="1">
      <alignment horizontal="center" vertical="center"/>
    </xf>
    <xf numFmtId="0" fontId="17" fillId="12" borderId="34" xfId="0" applyFont="1" applyFill="1" applyBorder="1" applyAlignment="1">
      <alignment horizontal="center" vertical="center"/>
    </xf>
    <xf numFmtId="0" fontId="17" fillId="13" borderId="34" xfId="0" applyFont="1" applyFill="1" applyBorder="1" applyAlignment="1">
      <alignment horizontal="center" vertical="center"/>
    </xf>
    <xf numFmtId="0" fontId="17" fillId="14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7" fillId="15" borderId="34" xfId="0" applyFont="1" applyFill="1" applyBorder="1" applyAlignment="1">
      <alignment horizontal="center" vertical="center"/>
    </xf>
    <xf numFmtId="0" fontId="2" fillId="18" borderId="34" xfId="0" applyFont="1" applyFill="1" applyBorder="1" applyAlignment="1">
      <alignment vertical="center"/>
    </xf>
    <xf numFmtId="165" fontId="2" fillId="18" borderId="35" xfId="0" applyNumberFormat="1" applyFont="1" applyFill="1" applyBorder="1" applyAlignment="1">
      <alignment vertical="center"/>
    </xf>
    <xf numFmtId="0" fontId="5" fillId="17" borderId="5" xfId="0" applyFont="1" applyFill="1" applyBorder="1"/>
    <xf numFmtId="0" fontId="5" fillId="4" borderId="5" xfId="0" applyFont="1" applyFill="1" applyBorder="1"/>
    <xf numFmtId="0" fontId="5" fillId="5" borderId="5" xfId="0" applyFont="1" applyFill="1" applyBorder="1"/>
    <xf numFmtId="0" fontId="7" fillId="20" borderId="5" xfId="0" applyFont="1" applyFill="1" applyBorder="1"/>
    <xf numFmtId="0" fontId="5" fillId="19" borderId="5" xfId="0" applyFont="1" applyFill="1" applyBorder="1"/>
    <xf numFmtId="0" fontId="5" fillId="8" borderId="5" xfId="0" applyFont="1" applyFill="1" applyBorder="1"/>
    <xf numFmtId="0" fontId="5" fillId="9" borderId="5" xfId="0" applyFont="1" applyFill="1" applyBorder="1"/>
    <xf numFmtId="0" fontId="5" fillId="10" borderId="5" xfId="0" applyFont="1" applyFill="1" applyBorder="1"/>
    <xf numFmtId="0" fontId="5" fillId="11" borderId="5" xfId="0" applyFont="1" applyFill="1" applyBorder="1"/>
    <xf numFmtId="0" fontId="5" fillId="12" borderId="5" xfId="0" applyFont="1" applyFill="1" applyBorder="1"/>
    <xf numFmtId="0" fontId="5" fillId="21" borderId="5" xfId="0" applyFont="1" applyFill="1" applyBorder="1"/>
    <xf numFmtId="0" fontId="5" fillId="22" borderId="5" xfId="0" applyFont="1" applyFill="1" applyBorder="1"/>
    <xf numFmtId="0" fontId="5" fillId="18" borderId="5" xfId="0" applyFont="1" applyFill="1" applyBorder="1"/>
    <xf numFmtId="0" fontId="7" fillId="15" borderId="5" xfId="0" applyFont="1" applyFill="1" applyBorder="1"/>
    <xf numFmtId="166" fontId="2" fillId="18" borderId="3" xfId="0" applyNumberFormat="1" applyFont="1" applyFill="1" applyBorder="1"/>
    <xf numFmtId="0" fontId="5" fillId="0" borderId="17" xfId="0" applyFont="1" applyBorder="1" applyAlignment="1">
      <alignment horizontal="center" wrapText="1"/>
    </xf>
    <xf numFmtId="0" fontId="2" fillId="0" borderId="18" xfId="0" applyFont="1" applyBorder="1"/>
    <xf numFmtId="0" fontId="25" fillId="20" borderId="5" xfId="0" applyFont="1" applyFill="1" applyBorder="1" applyAlignment="1">
      <alignment horizontal="center"/>
    </xf>
    <xf numFmtId="0" fontId="2" fillId="19" borderId="5" xfId="0" applyFont="1" applyFill="1" applyBorder="1" applyAlignment="1">
      <alignment horizontal="center"/>
    </xf>
    <xf numFmtId="0" fontId="2" fillId="21" borderId="5" xfId="0" applyFont="1" applyFill="1" applyBorder="1" applyAlignment="1">
      <alignment horizontal="center"/>
    </xf>
    <xf numFmtId="0" fontId="2" fillId="22" borderId="5" xfId="0" applyFont="1" applyFill="1" applyBorder="1" applyAlignment="1">
      <alignment horizontal="center"/>
    </xf>
    <xf numFmtId="0" fontId="2" fillId="18" borderId="5" xfId="0" applyFont="1" applyFill="1" applyBorder="1" applyAlignment="1">
      <alignment horizontal="center"/>
    </xf>
    <xf numFmtId="0" fontId="25" fillId="15" borderId="5" xfId="0" applyFont="1" applyFill="1" applyBorder="1" applyAlignment="1">
      <alignment horizontal="center"/>
    </xf>
    <xf numFmtId="166" fontId="2" fillId="18" borderId="5" xfId="0" applyNumberFormat="1" applyFont="1" applyFill="1" applyBorder="1" applyAlignment="1">
      <alignment horizontal="center"/>
    </xf>
    <xf numFmtId="0" fontId="2" fillId="18" borderId="3" xfId="0" applyFont="1" applyFill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2" fillId="17" borderId="5" xfId="0" applyFont="1" applyFill="1" applyBorder="1"/>
    <xf numFmtId="0" fontId="2" fillId="4" borderId="5" xfId="0" applyFont="1" applyFill="1" applyBorder="1"/>
    <xf numFmtId="0" fontId="2" fillId="5" borderId="5" xfId="0" applyFont="1" applyFill="1" applyBorder="1"/>
    <xf numFmtId="0" fontId="2" fillId="20" borderId="5" xfId="0" applyFont="1" applyFill="1" applyBorder="1"/>
    <xf numFmtId="0" fontId="2" fillId="19" borderId="5" xfId="0" applyFont="1" applyFill="1" applyBorder="1"/>
    <xf numFmtId="0" fontId="2" fillId="8" borderId="5" xfId="0" applyFont="1" applyFill="1" applyBorder="1"/>
    <xf numFmtId="0" fontId="2" fillId="9" borderId="5" xfId="0" applyFont="1" applyFill="1" applyBorder="1"/>
    <xf numFmtId="0" fontId="2" fillId="10" borderId="5" xfId="0" applyFont="1" applyFill="1" applyBorder="1"/>
    <xf numFmtId="0" fontId="2" fillId="11" borderId="5" xfId="0" applyFont="1" applyFill="1" applyBorder="1"/>
    <xf numFmtId="0" fontId="2" fillId="12" borderId="5" xfId="0" applyFont="1" applyFill="1" applyBorder="1"/>
    <xf numFmtId="0" fontId="2" fillId="21" borderId="5" xfId="0" applyFont="1" applyFill="1" applyBorder="1"/>
    <xf numFmtId="0" fontId="9" fillId="22" borderId="5" xfId="0" applyFont="1" applyFill="1" applyBorder="1" applyAlignment="1">
      <alignment horizontal="center"/>
    </xf>
    <xf numFmtId="0" fontId="2" fillId="15" borderId="5" xfId="0" applyFont="1" applyFill="1" applyBorder="1"/>
    <xf numFmtId="0" fontId="24" fillId="18" borderId="5" xfId="0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165" fontId="24" fillId="18" borderId="5" xfId="0" applyNumberFormat="1" applyFont="1" applyFill="1" applyBorder="1" applyAlignment="1">
      <alignment horizontal="center"/>
    </xf>
    <xf numFmtId="0" fontId="2" fillId="22" borderId="5" xfId="0" applyFont="1" applyFill="1" applyBorder="1"/>
    <xf numFmtId="0" fontId="2" fillId="18" borderId="23" xfId="0" applyFont="1" applyFill="1" applyBorder="1"/>
    <xf numFmtId="0" fontId="2" fillId="17" borderId="24" xfId="0" applyFont="1" applyFill="1" applyBorder="1"/>
    <xf numFmtId="0" fontId="2" fillId="4" borderId="24" xfId="0" applyFont="1" applyFill="1" applyBorder="1"/>
    <xf numFmtId="0" fontId="2" fillId="5" borderId="24" xfId="0" applyFont="1" applyFill="1" applyBorder="1"/>
    <xf numFmtId="0" fontId="2" fillId="19" borderId="24" xfId="0" applyFont="1" applyFill="1" applyBorder="1"/>
    <xf numFmtId="0" fontId="2" fillId="8" borderId="24" xfId="0" applyFont="1" applyFill="1" applyBorder="1"/>
    <xf numFmtId="0" fontId="2" fillId="9" borderId="24" xfId="0" applyFont="1" applyFill="1" applyBorder="1"/>
    <xf numFmtId="0" fontId="2" fillId="10" borderId="24" xfId="0" applyFont="1" applyFill="1" applyBorder="1"/>
    <xf numFmtId="0" fontId="2" fillId="11" borderId="24" xfId="0" applyFont="1" applyFill="1" applyBorder="1"/>
    <xf numFmtId="0" fontId="2" fillId="12" borderId="24" xfId="0" applyFont="1" applyFill="1" applyBorder="1"/>
    <xf numFmtId="0" fontId="2" fillId="21" borderId="24" xfId="0" applyFont="1" applyFill="1" applyBorder="1"/>
    <xf numFmtId="0" fontId="2" fillId="22" borderId="24" xfId="0" applyFont="1" applyFill="1" applyBorder="1"/>
    <xf numFmtId="0" fontId="2" fillId="15" borderId="24" xfId="0" applyFont="1" applyFill="1" applyBorder="1"/>
    <xf numFmtId="0" fontId="24" fillId="18" borderId="24" xfId="0" applyFont="1" applyFill="1" applyBorder="1" applyAlignment="1">
      <alignment horizontal="center"/>
    </xf>
    <xf numFmtId="165" fontId="24" fillId="18" borderId="25" xfId="0" applyNumberFormat="1" applyFont="1" applyFill="1" applyBorder="1" applyAlignment="1">
      <alignment horizontal="center"/>
    </xf>
    <xf numFmtId="0" fontId="2" fillId="18" borderId="16" xfId="0" applyFont="1" applyFill="1" applyBorder="1"/>
    <xf numFmtId="165" fontId="24" fillId="18" borderId="14" xfId="0" applyNumberFormat="1" applyFont="1" applyFill="1" applyBorder="1" applyAlignment="1">
      <alignment horizontal="center"/>
    </xf>
    <xf numFmtId="0" fontId="2" fillId="20" borderId="24" xfId="0" applyFont="1" applyFill="1" applyBorder="1"/>
    <xf numFmtId="0" fontId="2" fillId="18" borderId="13" xfId="0" applyFont="1" applyFill="1" applyBorder="1" applyAlignment="1">
      <alignment horizontal="center" wrapText="1"/>
    </xf>
    <xf numFmtId="0" fontId="2" fillId="18" borderId="16" xfId="0" applyFont="1" applyFill="1" applyBorder="1" applyAlignment="1">
      <alignment horizontal="center"/>
    </xf>
    <xf numFmtId="0" fontId="2" fillId="20" borderId="5" xfId="0" applyFont="1" applyFill="1" applyBorder="1" applyAlignment="1">
      <alignment horizontal="center"/>
    </xf>
    <xf numFmtId="0" fontId="2" fillId="15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26" fillId="0" borderId="0" xfId="0" applyFont="1" applyAlignment="1">
      <alignment wrapText="1"/>
    </xf>
    <xf numFmtId="0" fontId="2" fillId="2" borderId="5" xfId="0" applyFont="1" applyFill="1" applyBorder="1" applyAlignment="1">
      <alignment horizontal="center" vertical="center"/>
    </xf>
    <xf numFmtId="2" fontId="2" fillId="0" borderId="30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5" fillId="17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6" fillId="6" borderId="4" xfId="0" applyFont="1" applyFill="1" applyBorder="1" applyAlignment="1">
      <alignment vertical="center"/>
    </xf>
    <xf numFmtId="0" fontId="5" fillId="7" borderId="4" xfId="0" applyFont="1" applyFill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5" fillId="9" borderId="4" xfId="0" applyFont="1" applyFill="1" applyBorder="1" applyAlignment="1">
      <alignment vertical="center"/>
    </xf>
    <xf numFmtId="0" fontId="5" fillId="10" borderId="4" xfId="0" applyFont="1" applyFill="1" applyBorder="1" applyAlignment="1">
      <alignment vertical="center"/>
    </xf>
    <xf numFmtId="0" fontId="5" fillId="11" borderId="4" xfId="0" applyFont="1" applyFill="1" applyBorder="1" applyAlignment="1">
      <alignment vertical="center"/>
    </xf>
    <xf numFmtId="0" fontId="5" fillId="12" borderId="4" xfId="0" applyFont="1" applyFill="1" applyBorder="1" applyAlignment="1">
      <alignment vertical="center"/>
    </xf>
    <xf numFmtId="0" fontId="5" fillId="13" borderId="4" xfId="0" applyFont="1" applyFill="1" applyBorder="1" applyAlignment="1">
      <alignment vertical="center"/>
    </xf>
    <xf numFmtId="0" fontId="5" fillId="14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15" borderId="4" xfId="0" applyFont="1" applyFill="1" applyBorder="1" applyAlignment="1">
      <alignment vertical="center"/>
    </xf>
    <xf numFmtId="0" fontId="2" fillId="17" borderId="24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2" fillId="9" borderId="24" xfId="0" applyFont="1" applyFill="1" applyBorder="1" applyAlignment="1">
      <alignment horizontal="center"/>
    </xf>
    <xf numFmtId="0" fontId="2" fillId="10" borderId="24" xfId="0" applyFont="1" applyFill="1" applyBorder="1" applyAlignment="1">
      <alignment horizontal="center"/>
    </xf>
    <xf numFmtId="0" fontId="2" fillId="11" borderId="24" xfId="0" applyFont="1" applyFill="1" applyBorder="1" applyAlignment="1">
      <alignment horizontal="center"/>
    </xf>
    <xf numFmtId="0" fontId="2" fillId="12" borderId="24" xfId="0" applyFont="1" applyFill="1" applyBorder="1" applyAlignment="1">
      <alignment horizontal="center"/>
    </xf>
    <xf numFmtId="0" fontId="2" fillId="13" borderId="24" xfId="0" applyFont="1" applyFill="1" applyBorder="1" applyAlignment="1">
      <alignment horizontal="center"/>
    </xf>
    <xf numFmtId="0" fontId="2" fillId="14" borderId="24" xfId="0" applyFont="1" applyFill="1" applyBorder="1" applyAlignment="1">
      <alignment horizontal="center"/>
    </xf>
    <xf numFmtId="0" fontId="16" fillId="15" borderId="24" xfId="0" applyFont="1" applyFill="1" applyBorder="1" applyAlignment="1">
      <alignment horizontal="center"/>
    </xf>
    <xf numFmtId="0" fontId="5" fillId="0" borderId="28" xfId="0" applyFont="1" applyBorder="1" applyAlignment="1">
      <alignment horizontal="center" vertical="center"/>
    </xf>
    <xf numFmtId="168" fontId="5" fillId="2" borderId="5" xfId="0" applyNumberFormat="1" applyFont="1" applyFill="1" applyBorder="1" applyAlignment="1">
      <alignment vertical="center"/>
    </xf>
    <xf numFmtId="0" fontId="17" fillId="17" borderId="30" xfId="0" applyFont="1" applyFill="1" applyBorder="1" applyAlignment="1">
      <alignment vertical="center"/>
    </xf>
    <xf numFmtId="0" fontId="17" fillId="4" borderId="30" xfId="0" applyFont="1" applyFill="1" applyBorder="1" applyAlignment="1">
      <alignment vertical="center"/>
    </xf>
    <xf numFmtId="0" fontId="17" fillId="5" borderId="30" xfId="0" applyFont="1" applyFill="1" applyBorder="1" applyAlignment="1">
      <alignment vertical="center"/>
    </xf>
    <xf numFmtId="0" fontId="19" fillId="6" borderId="30" xfId="0" applyFont="1" applyFill="1" applyBorder="1" applyAlignment="1">
      <alignment vertical="center"/>
    </xf>
    <xf numFmtId="0" fontId="17" fillId="7" borderId="30" xfId="0" applyFont="1" applyFill="1" applyBorder="1" applyAlignment="1">
      <alignment vertical="center"/>
    </xf>
    <xf numFmtId="0" fontId="17" fillId="8" borderId="30" xfId="0" applyFont="1" applyFill="1" applyBorder="1" applyAlignment="1">
      <alignment vertical="center"/>
    </xf>
    <xf numFmtId="0" fontId="17" fillId="9" borderId="30" xfId="0" applyFont="1" applyFill="1" applyBorder="1" applyAlignment="1">
      <alignment vertical="center"/>
    </xf>
    <xf numFmtId="0" fontId="17" fillId="10" borderId="30" xfId="0" applyFont="1" applyFill="1" applyBorder="1" applyAlignment="1">
      <alignment vertical="center"/>
    </xf>
    <xf numFmtId="0" fontId="17" fillId="11" borderId="30" xfId="0" applyFont="1" applyFill="1" applyBorder="1" applyAlignment="1">
      <alignment vertical="center"/>
    </xf>
    <xf numFmtId="0" fontId="17" fillId="12" borderId="30" xfId="0" applyFont="1" applyFill="1" applyBorder="1" applyAlignment="1">
      <alignment vertical="center"/>
    </xf>
    <xf numFmtId="0" fontId="17" fillId="13" borderId="30" xfId="0" applyFont="1" applyFill="1" applyBorder="1" applyAlignment="1">
      <alignment vertical="center"/>
    </xf>
    <xf numFmtId="0" fontId="17" fillId="14" borderId="30" xfId="0" applyFont="1" applyFill="1" applyBorder="1" applyAlignment="1">
      <alignment vertical="center"/>
    </xf>
    <xf numFmtId="0" fontId="17" fillId="2" borderId="30" xfId="0" applyFont="1" applyFill="1" applyBorder="1" applyAlignment="1">
      <alignment vertical="center"/>
    </xf>
    <xf numFmtId="0" fontId="19" fillId="15" borderId="30" xfId="0" applyFont="1" applyFill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165" fontId="2" fillId="0" borderId="31" xfId="0" applyNumberFormat="1" applyFont="1" applyBorder="1" applyAlignment="1">
      <alignment vertical="center"/>
    </xf>
    <xf numFmtId="0" fontId="2" fillId="2" borderId="37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165" fontId="2" fillId="0" borderId="14" xfId="0" applyNumberFormat="1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7" fillId="19" borderId="5" xfId="0" applyFont="1" applyFill="1" applyBorder="1" applyAlignment="1">
      <alignment vertical="center"/>
    </xf>
    <xf numFmtId="0" fontId="17" fillId="17" borderId="3" xfId="0" applyFont="1" applyFill="1" applyBorder="1" applyAlignment="1">
      <alignment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7" fillId="17" borderId="34" xfId="0" applyFont="1" applyFill="1" applyBorder="1" applyAlignment="1">
      <alignment vertical="center"/>
    </xf>
    <xf numFmtId="0" fontId="17" fillId="4" borderId="34" xfId="0" applyFont="1" applyFill="1" applyBorder="1" applyAlignment="1">
      <alignment vertical="center"/>
    </xf>
    <xf numFmtId="0" fontId="17" fillId="5" borderId="34" xfId="0" applyFont="1" applyFill="1" applyBorder="1" applyAlignment="1">
      <alignment vertical="center"/>
    </xf>
    <xf numFmtId="0" fontId="19" fillId="6" borderId="34" xfId="0" applyFont="1" applyFill="1" applyBorder="1" applyAlignment="1">
      <alignment vertical="center"/>
    </xf>
    <xf numFmtId="0" fontId="17" fillId="7" borderId="34" xfId="0" applyFont="1" applyFill="1" applyBorder="1" applyAlignment="1">
      <alignment vertical="center"/>
    </xf>
    <xf numFmtId="0" fontId="17" fillId="8" borderId="34" xfId="0" applyFont="1" applyFill="1" applyBorder="1" applyAlignment="1">
      <alignment vertical="center"/>
    </xf>
    <xf numFmtId="0" fontId="17" fillId="9" borderId="34" xfId="0" applyFont="1" applyFill="1" applyBorder="1" applyAlignment="1">
      <alignment vertical="center"/>
    </xf>
    <xf numFmtId="0" fontId="17" fillId="10" borderId="34" xfId="0" applyFont="1" applyFill="1" applyBorder="1" applyAlignment="1">
      <alignment vertical="center"/>
    </xf>
    <xf numFmtId="0" fontId="17" fillId="11" borderId="34" xfId="0" applyFont="1" applyFill="1" applyBorder="1" applyAlignment="1">
      <alignment vertical="center"/>
    </xf>
    <xf numFmtId="0" fontId="17" fillId="12" borderId="34" xfId="0" applyFont="1" applyFill="1" applyBorder="1" applyAlignment="1">
      <alignment vertical="center"/>
    </xf>
    <xf numFmtId="0" fontId="17" fillId="13" borderId="34" xfId="0" applyFont="1" applyFill="1" applyBorder="1" applyAlignment="1">
      <alignment vertical="center"/>
    </xf>
    <xf numFmtId="0" fontId="17" fillId="14" borderId="34" xfId="0" applyFont="1" applyFill="1" applyBorder="1" applyAlignment="1">
      <alignment vertical="center"/>
    </xf>
    <xf numFmtId="0" fontId="17" fillId="2" borderId="34" xfId="0" applyFont="1" applyFill="1" applyBorder="1" applyAlignment="1">
      <alignment vertical="center"/>
    </xf>
    <xf numFmtId="0" fontId="19" fillId="15" borderId="34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165" fontId="2" fillId="2" borderId="35" xfId="0" applyNumberFormat="1" applyFont="1" applyFill="1" applyBorder="1" applyAlignment="1">
      <alignment vertical="center"/>
    </xf>
    <xf numFmtId="169" fontId="2" fillId="2" borderId="3" xfId="0" applyNumberFormat="1" applyFont="1" applyFill="1" applyBorder="1"/>
    <xf numFmtId="0" fontId="2" fillId="2" borderId="5" xfId="0" applyFont="1" applyFill="1" applyBorder="1"/>
    <xf numFmtId="165" fontId="2" fillId="2" borderId="5" xfId="0" applyNumberFormat="1" applyFont="1" applyFill="1" applyBorder="1"/>
    <xf numFmtId="0" fontId="29" fillId="2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5" fillId="2" borderId="38" xfId="0" applyFont="1" applyFill="1" applyBorder="1" applyAlignment="1">
      <alignment horizontal="center"/>
    </xf>
    <xf numFmtId="164" fontId="2" fillId="2" borderId="38" xfId="0" applyNumberFormat="1" applyFont="1" applyFill="1" applyBorder="1"/>
    <xf numFmtId="0" fontId="2" fillId="2" borderId="38" xfId="0" applyFont="1" applyFill="1" applyBorder="1"/>
    <xf numFmtId="0" fontId="16" fillId="2" borderId="38" xfId="0" applyFont="1" applyFill="1" applyBorder="1"/>
    <xf numFmtId="166" fontId="2" fillId="2" borderId="38" xfId="0" applyNumberFormat="1" applyFont="1" applyFill="1" applyBorder="1"/>
    <xf numFmtId="0" fontId="17" fillId="19" borderId="24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/>
    </xf>
    <xf numFmtId="0" fontId="5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/>
    </xf>
    <xf numFmtId="165" fontId="2" fillId="2" borderId="31" xfId="0" applyNumberFormat="1" applyFont="1" applyFill="1" applyBorder="1" applyAlignment="1">
      <alignment vertical="center"/>
    </xf>
    <xf numFmtId="0" fontId="18" fillId="6" borderId="24" xfId="0" applyFont="1" applyFill="1" applyBorder="1" applyAlignment="1">
      <alignment vertical="center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 vertical="center"/>
    </xf>
    <xf numFmtId="0" fontId="31" fillId="2" borderId="3" xfId="0" applyFont="1" applyFill="1" applyBorder="1" applyAlignment="1">
      <alignment horizontal="center"/>
    </xf>
    <xf numFmtId="0" fontId="32" fillId="2" borderId="3" xfId="0" applyFont="1" applyFill="1" applyBorder="1" applyAlignment="1">
      <alignment horizontal="center"/>
    </xf>
    <xf numFmtId="164" fontId="32" fillId="2" borderId="3" xfId="0" applyNumberFormat="1" applyFont="1" applyFill="1" applyBorder="1" applyAlignment="1">
      <alignment horizontal="center"/>
    </xf>
    <xf numFmtId="0" fontId="5" fillId="17" borderId="4" xfId="0" applyFont="1" applyFill="1" applyBorder="1" applyAlignment="1">
      <alignment vertical="center"/>
    </xf>
    <xf numFmtId="0" fontId="19" fillId="15" borderId="3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7" fillId="17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5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7" fillId="7" borderId="4" xfId="0" applyFont="1" applyFill="1" applyBorder="1" applyAlignment="1">
      <alignment horizontal="center" vertical="center"/>
    </xf>
    <xf numFmtId="0" fontId="17" fillId="8" borderId="4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10" borderId="4" xfId="0" applyFont="1" applyFill="1" applyBorder="1" applyAlignment="1">
      <alignment horizontal="center" vertical="center"/>
    </xf>
    <xf numFmtId="0" fontId="17" fillId="11" borderId="4" xfId="0" applyFont="1" applyFill="1" applyBorder="1" applyAlignment="1">
      <alignment horizontal="center" vertical="center"/>
    </xf>
    <xf numFmtId="0" fontId="17" fillId="12" borderId="4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4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9" fillId="15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165" fontId="2" fillId="2" borderId="42" xfId="0" applyNumberFormat="1" applyFont="1" applyFill="1" applyBorder="1" applyAlignment="1">
      <alignment vertical="center"/>
    </xf>
    <xf numFmtId="164" fontId="2" fillId="0" borderId="0" xfId="0" applyNumberFormat="1" applyFont="1" applyAlignment="1">
      <alignment horizontal="center"/>
    </xf>
    <xf numFmtId="165" fontId="2" fillId="2" borderId="24" xfId="0" applyNumberFormat="1" applyFont="1" applyFill="1" applyBorder="1"/>
    <xf numFmtId="0" fontId="16" fillId="0" borderId="0" xfId="0" applyFont="1"/>
    <xf numFmtId="165" fontId="2" fillId="2" borderId="3" xfId="0" applyNumberFormat="1" applyFont="1" applyFill="1" applyBorder="1"/>
    <xf numFmtId="0" fontId="17" fillId="17" borderId="24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7" fillId="7" borderId="24" xfId="0" applyFont="1" applyFill="1" applyBorder="1" applyAlignment="1">
      <alignment horizontal="center" vertical="center"/>
    </xf>
    <xf numFmtId="0" fontId="17" fillId="8" borderId="24" xfId="0" applyFont="1" applyFill="1" applyBorder="1" applyAlignment="1">
      <alignment horizontal="center" vertical="center"/>
    </xf>
    <xf numFmtId="0" fontId="17" fillId="9" borderId="24" xfId="0" applyFont="1" applyFill="1" applyBorder="1" applyAlignment="1">
      <alignment horizontal="center" vertical="center"/>
    </xf>
    <xf numFmtId="0" fontId="17" fillId="10" borderId="24" xfId="0" applyFont="1" applyFill="1" applyBorder="1" applyAlignment="1">
      <alignment horizontal="center" vertical="center"/>
    </xf>
    <xf numFmtId="0" fontId="17" fillId="11" borderId="24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4" borderId="24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9" fillId="15" borderId="24" xfId="0" applyFont="1" applyFill="1" applyBorder="1" applyAlignment="1">
      <alignment horizontal="center" vertical="center"/>
    </xf>
    <xf numFmtId="0" fontId="5" fillId="18" borderId="13" xfId="0" applyFont="1" applyFill="1" applyBorder="1" applyAlignment="1">
      <alignment horizontal="center" vertical="center" wrapText="1"/>
    </xf>
    <xf numFmtId="0" fontId="2" fillId="18" borderId="5" xfId="0" applyFont="1" applyFill="1" applyBorder="1" applyAlignment="1">
      <alignment horizontal="center" vertical="center"/>
    </xf>
    <xf numFmtId="0" fontId="5" fillId="18" borderId="5" xfId="0" applyFont="1" applyFill="1" applyBorder="1" applyAlignment="1">
      <alignment horizontal="center" vertical="center"/>
    </xf>
    <xf numFmtId="0" fontId="17" fillId="20" borderId="5" xfId="0" applyFont="1" applyFill="1" applyBorder="1" applyAlignment="1">
      <alignment horizontal="center" vertical="center"/>
    </xf>
    <xf numFmtId="0" fontId="17" fillId="19" borderId="5" xfId="0" applyFont="1" applyFill="1" applyBorder="1" applyAlignment="1">
      <alignment horizontal="center" vertical="center"/>
    </xf>
    <xf numFmtId="0" fontId="17" fillId="21" borderId="5" xfId="0" applyFont="1" applyFill="1" applyBorder="1" applyAlignment="1">
      <alignment horizontal="center" vertical="center"/>
    </xf>
    <xf numFmtId="0" fontId="17" fillId="22" borderId="5" xfId="0" applyFont="1" applyFill="1" applyBorder="1" applyAlignment="1">
      <alignment horizontal="center" vertical="center"/>
    </xf>
    <xf numFmtId="0" fontId="17" fillId="18" borderId="5" xfId="0" applyFont="1" applyFill="1" applyBorder="1" applyAlignment="1">
      <alignment horizontal="center" vertical="center"/>
    </xf>
    <xf numFmtId="165" fontId="2" fillId="18" borderId="14" xfId="0" applyNumberFormat="1" applyFont="1" applyFill="1" applyBorder="1" applyAlignment="1">
      <alignment horizontal="center" vertical="center"/>
    </xf>
    <xf numFmtId="0" fontId="2" fillId="2" borderId="17" xfId="0" applyFont="1" applyFill="1" applyBorder="1"/>
    <xf numFmtId="165" fontId="2" fillId="2" borderId="9" xfId="0" applyNumberFormat="1" applyFont="1" applyFill="1" applyBorder="1"/>
    <xf numFmtId="0" fontId="2" fillId="0" borderId="0" xfId="0" applyFont="1" applyAlignment="1">
      <alignment vertical="center"/>
    </xf>
    <xf numFmtId="0" fontId="5" fillId="17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7" fillId="11" borderId="7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5" fillId="16" borderId="7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0" xfId="0" applyFont="1"/>
    <xf numFmtId="0" fontId="29" fillId="0" borderId="45" xfId="0" applyFont="1" applyBorder="1" applyAlignment="1">
      <alignment horizontal="center" vertical="center"/>
    </xf>
    <xf numFmtId="0" fontId="29" fillId="17" borderId="47" xfId="0" applyFont="1" applyFill="1" applyBorder="1" applyAlignment="1">
      <alignment horizontal="center" vertical="center"/>
    </xf>
    <xf numFmtId="0" fontId="29" fillId="4" borderId="47" xfId="0" applyFont="1" applyFill="1" applyBorder="1" applyAlignment="1">
      <alignment horizontal="center" vertical="center"/>
    </xf>
    <xf numFmtId="0" fontId="29" fillId="5" borderId="47" xfId="0" applyFont="1" applyFill="1" applyBorder="1" applyAlignment="1">
      <alignment horizontal="center" vertical="center"/>
    </xf>
    <xf numFmtId="0" fontId="35" fillId="6" borderId="47" xfId="0" applyFont="1" applyFill="1" applyBorder="1" applyAlignment="1">
      <alignment horizontal="center" vertical="center"/>
    </xf>
    <xf numFmtId="0" fontId="29" fillId="10" borderId="47" xfId="0" applyFont="1" applyFill="1" applyBorder="1" applyAlignment="1">
      <alignment horizontal="center" vertical="center"/>
    </xf>
    <xf numFmtId="0" fontId="36" fillId="11" borderId="47" xfId="0" applyFont="1" applyFill="1" applyBorder="1" applyAlignment="1">
      <alignment horizontal="center" vertical="center"/>
    </xf>
    <xf numFmtId="0" fontId="35" fillId="15" borderId="47" xfId="0" applyFont="1" applyFill="1" applyBorder="1" applyAlignment="1">
      <alignment horizontal="center" vertical="center"/>
    </xf>
    <xf numFmtId="0" fontId="29" fillId="16" borderId="47" xfId="0" applyFont="1" applyFill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165" fontId="24" fillId="0" borderId="48" xfId="0" applyNumberFormat="1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17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16" fillId="11" borderId="5" xfId="0" applyFont="1" applyFill="1" applyBorder="1" applyAlignment="1">
      <alignment horizontal="center" vertical="center"/>
    </xf>
    <xf numFmtId="0" fontId="16" fillId="15" borderId="5" xfId="0" applyFont="1" applyFill="1" applyBorder="1" applyAlignment="1">
      <alignment horizontal="center" vertical="center"/>
    </xf>
    <xf numFmtId="0" fontId="2" fillId="16" borderId="5" xfId="0" applyFont="1" applyFill="1" applyBorder="1" applyAlignment="1">
      <alignment horizontal="center" vertical="center"/>
    </xf>
    <xf numFmtId="165" fontId="2" fillId="0" borderId="51" xfId="0" applyNumberFormat="1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/>
    </xf>
    <xf numFmtId="0" fontId="24" fillId="17" borderId="60" xfId="0" applyFont="1" applyFill="1" applyBorder="1" applyAlignment="1">
      <alignment horizontal="center" vertical="center"/>
    </xf>
    <xf numFmtId="0" fontId="24" fillId="4" borderId="60" xfId="0" applyFont="1" applyFill="1" applyBorder="1" applyAlignment="1">
      <alignment horizontal="center" vertical="center"/>
    </xf>
    <xf numFmtId="0" fontId="24" fillId="5" borderId="60" xfId="0" applyFont="1" applyFill="1" applyBorder="1" applyAlignment="1">
      <alignment horizontal="center" vertical="center"/>
    </xf>
    <xf numFmtId="0" fontId="38" fillId="6" borderId="60" xfId="0" applyFont="1" applyFill="1" applyBorder="1" applyAlignment="1">
      <alignment horizontal="center" vertical="center"/>
    </xf>
    <xf numFmtId="0" fontId="24" fillId="10" borderId="60" xfId="0" applyFont="1" applyFill="1" applyBorder="1" applyAlignment="1">
      <alignment horizontal="center" vertical="center"/>
    </xf>
    <xf numFmtId="0" fontId="39" fillId="11" borderId="60" xfId="0" applyFont="1" applyFill="1" applyBorder="1" applyAlignment="1">
      <alignment horizontal="center" vertical="center"/>
    </xf>
    <xf numFmtId="0" fontId="39" fillId="15" borderId="60" xfId="0" applyFont="1" applyFill="1" applyBorder="1" applyAlignment="1">
      <alignment horizontal="center" vertical="center"/>
    </xf>
    <xf numFmtId="0" fontId="24" fillId="16" borderId="60" xfId="0" applyFont="1" applyFill="1" applyBorder="1" applyAlignment="1">
      <alignment horizontal="center" vertical="center"/>
    </xf>
    <xf numFmtId="0" fontId="24" fillId="0" borderId="60" xfId="0" applyFont="1" applyBorder="1" applyAlignment="1">
      <alignment horizontal="center" vertical="center"/>
    </xf>
    <xf numFmtId="165" fontId="24" fillId="0" borderId="61" xfId="0" applyNumberFormat="1" applyFont="1" applyBorder="1" applyAlignment="1">
      <alignment horizontal="center" vertical="center"/>
    </xf>
    <xf numFmtId="0" fontId="24" fillId="0" borderId="62" xfId="0" applyFont="1" applyBorder="1" applyAlignment="1">
      <alignment horizontal="center" vertical="center" wrapText="1"/>
    </xf>
    <xf numFmtId="0" fontId="2" fillId="0" borderId="53" xfId="0" applyFont="1" applyBorder="1"/>
    <xf numFmtId="0" fontId="2" fillId="0" borderId="5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2" fillId="17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16" fillId="11" borderId="24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2" fillId="16" borderId="24" xfId="0" applyFont="1" applyFill="1" applyBorder="1" applyAlignment="1">
      <alignment horizontal="center" vertical="center"/>
    </xf>
    <xf numFmtId="165" fontId="2" fillId="0" borderId="63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39" fillId="6" borderId="60" xfId="0" applyFont="1" applyFill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40" fillId="0" borderId="6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5" fillId="6" borderId="5" xfId="0" applyFont="1" applyFill="1" applyBorder="1" applyAlignment="1">
      <alignment horizontal="center" vertical="center"/>
    </xf>
    <xf numFmtId="0" fontId="25" fillId="11" borderId="5" xfId="0" applyFont="1" applyFill="1" applyBorder="1" applyAlignment="1">
      <alignment horizontal="center" vertical="center"/>
    </xf>
    <xf numFmtId="0" fontId="25" fillId="15" borderId="5" xfId="0" applyFont="1" applyFill="1" applyBorder="1" applyAlignment="1">
      <alignment horizontal="center" vertical="center"/>
    </xf>
    <xf numFmtId="0" fontId="2" fillId="17" borderId="60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2" fillId="5" borderId="60" xfId="0" applyFont="1" applyFill="1" applyBorder="1" applyAlignment="1">
      <alignment horizontal="center" vertical="center"/>
    </xf>
    <xf numFmtId="0" fontId="16" fillId="6" borderId="60" xfId="0" applyFont="1" applyFill="1" applyBorder="1" applyAlignment="1">
      <alignment horizontal="center" vertical="center"/>
    </xf>
    <xf numFmtId="0" fontId="2" fillId="10" borderId="60" xfId="0" applyFont="1" applyFill="1" applyBorder="1" applyAlignment="1">
      <alignment horizontal="center" vertical="center"/>
    </xf>
    <xf numFmtId="0" fontId="25" fillId="11" borderId="60" xfId="0" applyFont="1" applyFill="1" applyBorder="1" applyAlignment="1">
      <alignment horizontal="center" vertical="center"/>
    </xf>
    <xf numFmtId="0" fontId="16" fillId="15" borderId="60" xfId="0" applyFont="1" applyFill="1" applyBorder="1" applyAlignment="1">
      <alignment horizontal="center" vertical="center"/>
    </xf>
    <xf numFmtId="0" fontId="2" fillId="16" borderId="60" xfId="0" applyFont="1" applyFill="1" applyBorder="1" applyAlignment="1">
      <alignment horizontal="center" vertical="center"/>
    </xf>
    <xf numFmtId="0" fontId="41" fillId="0" borderId="6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25" fillId="6" borderId="24" xfId="0" applyFont="1" applyFill="1" applyBorder="1" applyAlignment="1">
      <alignment horizontal="center" vertical="center"/>
    </xf>
    <xf numFmtId="0" fontId="25" fillId="11" borderId="24" xfId="0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6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6" fillId="0" borderId="11" xfId="0" applyFont="1" applyBorder="1"/>
    <xf numFmtId="0" fontId="26" fillId="0" borderId="12" xfId="0" applyFont="1" applyBorder="1" applyAlignment="1">
      <alignment wrapText="1"/>
    </xf>
    <xf numFmtId="0" fontId="5" fillId="17" borderId="69" xfId="0" applyFont="1" applyFill="1" applyBorder="1" applyAlignment="1">
      <alignment horizontal="center"/>
    </xf>
    <xf numFmtId="0" fontId="5" fillId="4" borderId="69" xfId="0" applyFont="1" applyFill="1" applyBorder="1" applyAlignment="1">
      <alignment horizontal="center"/>
    </xf>
    <xf numFmtId="0" fontId="5" fillId="5" borderId="69" xfId="0" applyFont="1" applyFill="1" applyBorder="1" applyAlignment="1">
      <alignment horizontal="center"/>
    </xf>
    <xf numFmtId="0" fontId="6" fillId="6" borderId="69" xfId="0" applyFont="1" applyFill="1" applyBorder="1" applyAlignment="1">
      <alignment horizontal="center"/>
    </xf>
    <xf numFmtId="0" fontId="44" fillId="18" borderId="69" xfId="0" applyFont="1" applyFill="1" applyBorder="1" applyAlignment="1">
      <alignment horizontal="center"/>
    </xf>
    <xf numFmtId="0" fontId="5" fillId="24" borderId="69" xfId="0" applyFont="1" applyFill="1" applyBorder="1" applyAlignment="1">
      <alignment horizontal="center"/>
    </xf>
    <xf numFmtId="0" fontId="5" fillId="10" borderId="69" xfId="0" applyFont="1" applyFill="1" applyBorder="1" applyAlignment="1">
      <alignment horizontal="center"/>
    </xf>
    <xf numFmtId="0" fontId="6" fillId="15" borderId="69" xfId="0" applyFont="1" applyFill="1" applyBorder="1" applyAlignment="1">
      <alignment horizontal="center"/>
    </xf>
    <xf numFmtId="0" fontId="43" fillId="25" borderId="53" xfId="0" applyFont="1" applyFill="1" applyBorder="1"/>
    <xf numFmtId="164" fontId="29" fillId="0" borderId="0" xfId="0" applyNumberFormat="1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" fillId="0" borderId="60" xfId="0" applyFont="1" applyBorder="1"/>
    <xf numFmtId="167" fontId="45" fillId="0" borderId="60" xfId="0" applyNumberFormat="1" applyFont="1" applyBorder="1" applyAlignment="1">
      <alignment horizontal="right"/>
    </xf>
    <xf numFmtId="0" fontId="5" fillId="17" borderId="60" xfId="0" applyFont="1" applyFill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0" fontId="5" fillId="5" borderId="60" xfId="0" applyFont="1" applyFill="1" applyBorder="1" applyAlignment="1">
      <alignment horizontal="center"/>
    </xf>
    <xf numFmtId="0" fontId="7" fillId="6" borderId="60" xfId="0" applyFont="1" applyFill="1" applyBorder="1" applyAlignment="1">
      <alignment horizontal="center"/>
    </xf>
    <xf numFmtId="0" fontId="44" fillId="18" borderId="60" xfId="0" applyFont="1" applyFill="1" applyBorder="1" applyAlignment="1">
      <alignment horizontal="center"/>
    </xf>
    <xf numFmtId="0" fontId="5" fillId="24" borderId="60" xfId="0" applyFont="1" applyFill="1" applyBorder="1" applyAlignment="1">
      <alignment horizontal="center"/>
    </xf>
    <xf numFmtId="0" fontId="5" fillId="10" borderId="60" xfId="0" applyFont="1" applyFill="1" applyBorder="1" applyAlignment="1">
      <alignment horizontal="center"/>
    </xf>
    <xf numFmtId="0" fontId="7" fillId="15" borderId="60" xfId="0" applyFont="1" applyFill="1" applyBorder="1" applyAlignment="1">
      <alignment horizontal="center"/>
    </xf>
    <xf numFmtId="0" fontId="43" fillId="25" borderId="61" xfId="0" applyFont="1" applyFill="1" applyBorder="1"/>
    <xf numFmtId="167" fontId="2" fillId="0" borderId="61" xfId="0" applyNumberFormat="1" applyFont="1" applyBorder="1" applyAlignment="1">
      <alignment horizontal="center" vertical="center"/>
    </xf>
    <xf numFmtId="0" fontId="43" fillId="2" borderId="24" xfId="0" applyFont="1" applyFill="1" applyBorder="1"/>
    <xf numFmtId="0" fontId="2" fillId="2" borderId="24" xfId="0" applyFont="1" applyFill="1" applyBorder="1" applyAlignment="1">
      <alignment horizontal="center" vertical="center"/>
    </xf>
    <xf numFmtId="167" fontId="43" fillId="2" borderId="3" xfId="0" applyNumberFormat="1" applyFont="1" applyFill="1" applyBorder="1" applyAlignment="1">
      <alignment horizontal="right"/>
    </xf>
    <xf numFmtId="0" fontId="44" fillId="18" borderId="6" xfId="0" applyFont="1" applyFill="1" applyBorder="1" applyAlignment="1">
      <alignment horizontal="center"/>
    </xf>
    <xf numFmtId="0" fontId="5" fillId="24" borderId="6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43" fillId="25" borderId="24" xfId="0" applyFont="1" applyFill="1" applyBorder="1"/>
    <xf numFmtId="167" fontId="2" fillId="0" borderId="53" xfId="0" applyNumberFormat="1" applyFont="1" applyBorder="1" applyAlignment="1">
      <alignment horizontal="center" vertical="center"/>
    </xf>
    <xf numFmtId="0" fontId="43" fillId="2" borderId="5" xfId="0" applyFont="1" applyFill="1" applyBorder="1"/>
    <xf numFmtId="0" fontId="2" fillId="2" borderId="30" xfId="0" applyFont="1" applyFill="1" applyBorder="1" applyAlignment="1">
      <alignment horizontal="center" vertical="center"/>
    </xf>
    <xf numFmtId="0" fontId="44" fillId="18" borderId="7" xfId="0" applyFont="1" applyFill="1" applyBorder="1" applyAlignment="1">
      <alignment horizontal="center"/>
    </xf>
    <xf numFmtId="0" fontId="43" fillId="25" borderId="5" xfId="0" applyFont="1" applyFill="1" applyBorder="1"/>
    <xf numFmtId="0" fontId="27" fillId="0" borderId="0" xfId="0" applyFont="1"/>
    <xf numFmtId="0" fontId="40" fillId="0" borderId="0" xfId="0" applyFont="1"/>
    <xf numFmtId="0" fontId="46" fillId="0" borderId="0" xfId="0" applyFont="1" applyAlignment="1">
      <alignment horizontal="center"/>
    </xf>
    <xf numFmtId="165" fontId="47" fillId="0" borderId="0" xfId="0" applyNumberFormat="1" applyFont="1"/>
    <xf numFmtId="49" fontId="43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9" fillId="0" borderId="59" xfId="0" applyNumberFormat="1" applyFont="1" applyBorder="1" applyAlignment="1">
      <alignment horizontal="left" wrapText="1"/>
    </xf>
    <xf numFmtId="0" fontId="5" fillId="0" borderId="5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 wrapText="1"/>
    </xf>
    <xf numFmtId="0" fontId="26" fillId="0" borderId="70" xfId="0" applyFont="1" applyBorder="1" applyAlignment="1">
      <alignment wrapText="1"/>
    </xf>
    <xf numFmtId="0" fontId="46" fillId="0" borderId="60" xfId="0" applyFont="1" applyBorder="1" applyAlignment="1">
      <alignment horizontal="center"/>
    </xf>
    <xf numFmtId="165" fontId="47" fillId="0" borderId="60" xfId="0" applyNumberFormat="1" applyFont="1" applyBorder="1"/>
    <xf numFmtId="167" fontId="29" fillId="0" borderId="60" xfId="0" applyNumberFormat="1" applyFont="1" applyBorder="1"/>
    <xf numFmtId="0" fontId="50" fillId="18" borderId="60" xfId="0" applyFont="1" applyFill="1" applyBorder="1" applyAlignment="1">
      <alignment horizontal="center" vertical="center"/>
    </xf>
    <xf numFmtId="0" fontId="2" fillId="7" borderId="60" xfId="0" applyFont="1" applyFill="1" applyBorder="1" applyAlignment="1">
      <alignment horizontal="center" vertical="center"/>
    </xf>
    <xf numFmtId="0" fontId="2" fillId="8" borderId="60" xfId="0" applyFont="1" applyFill="1" applyBorder="1" applyAlignment="1">
      <alignment horizontal="center" vertical="center"/>
    </xf>
    <xf numFmtId="0" fontId="2" fillId="9" borderId="60" xfId="0" applyFont="1" applyFill="1" applyBorder="1" applyAlignment="1">
      <alignment horizontal="center" vertical="center"/>
    </xf>
    <xf numFmtId="0" fontId="2" fillId="14" borderId="60" xfId="0" applyFont="1" applyFill="1" applyBorder="1" applyAlignment="1">
      <alignment horizontal="center" vertical="center"/>
    </xf>
    <xf numFmtId="165" fontId="2" fillId="0" borderId="61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167" fontId="5" fillId="0" borderId="60" xfId="0" applyNumberFormat="1" applyFont="1" applyBorder="1" applyAlignment="1">
      <alignment vertical="center"/>
    </xf>
    <xf numFmtId="0" fontId="2" fillId="17" borderId="73" xfId="0" applyFont="1" applyFill="1" applyBorder="1" applyAlignment="1">
      <alignment horizontal="center" vertical="center"/>
    </xf>
    <xf numFmtId="0" fontId="25" fillId="6" borderId="60" xfId="0" applyFont="1" applyFill="1" applyBorder="1" applyAlignment="1">
      <alignment horizontal="center" vertical="center"/>
    </xf>
    <xf numFmtId="0" fontId="50" fillId="18" borderId="74" xfId="0" applyFont="1" applyFill="1" applyBorder="1" applyAlignment="1">
      <alignment horizontal="center" vertical="center"/>
    </xf>
    <xf numFmtId="0" fontId="2" fillId="7" borderId="73" xfId="0" applyFont="1" applyFill="1" applyBorder="1" applyAlignment="1">
      <alignment horizontal="center" vertical="center"/>
    </xf>
    <xf numFmtId="0" fontId="25" fillId="15" borderId="60" xfId="0" applyFont="1" applyFill="1" applyBorder="1" applyAlignment="1">
      <alignment horizontal="center" vertical="center"/>
    </xf>
    <xf numFmtId="0" fontId="40" fillId="0" borderId="28" xfId="0" applyFont="1" applyBorder="1" applyAlignment="1">
      <alignment horizontal="center" vertical="center" wrapText="1"/>
    </xf>
    <xf numFmtId="0" fontId="50" fillId="18" borderId="3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14" borderId="24" xfId="0" applyFont="1" applyFill="1" applyBorder="1" applyAlignment="1">
      <alignment horizontal="center" vertical="center"/>
    </xf>
    <xf numFmtId="0" fontId="50" fillId="18" borderId="15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17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50" fillId="18" borderId="76" xfId="0" applyFont="1" applyFill="1" applyBorder="1" applyAlignment="1">
      <alignment horizontal="center" vertical="center"/>
    </xf>
    <xf numFmtId="0" fontId="2" fillId="7" borderId="77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16" fillId="15" borderId="7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0" fontId="40" fillId="0" borderId="62" xfId="0" applyFont="1" applyBorder="1" applyAlignment="1">
      <alignment horizontal="center" vertical="center" wrapText="1"/>
    </xf>
    <xf numFmtId="0" fontId="50" fillId="18" borderId="3" xfId="0" applyFont="1" applyFill="1" applyBorder="1"/>
    <xf numFmtId="0" fontId="47" fillId="0" borderId="5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17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50" fillId="18" borderId="79" xfId="0" applyFont="1" applyFill="1" applyBorder="1" applyAlignment="1">
      <alignment horizontal="center" vertical="center"/>
    </xf>
    <xf numFmtId="0" fontId="2" fillId="7" borderId="80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16" fillId="15" borderId="4" xfId="0" applyFont="1" applyFill="1" applyBorder="1" applyAlignment="1">
      <alignment horizontal="center" vertical="center"/>
    </xf>
    <xf numFmtId="0" fontId="2" fillId="14" borderId="4" xfId="0" applyFont="1" applyFill="1" applyBorder="1" applyAlignment="1">
      <alignment horizontal="center" vertical="center"/>
    </xf>
    <xf numFmtId="0" fontId="26" fillId="0" borderId="0" xfId="0" applyFont="1"/>
    <xf numFmtId="0" fontId="2" fillId="0" borderId="81" xfId="0" applyFont="1" applyBorder="1"/>
    <xf numFmtId="0" fontId="2" fillId="0" borderId="64" xfId="0" applyFont="1" applyBorder="1"/>
    <xf numFmtId="0" fontId="2" fillId="0" borderId="82" xfId="0" applyFont="1" applyBorder="1"/>
    <xf numFmtId="165" fontId="2" fillId="0" borderId="81" xfId="0" applyNumberFormat="1" applyFont="1" applyBorder="1"/>
    <xf numFmtId="167" fontId="2" fillId="0" borderId="0" xfId="0" applyNumberFormat="1" applyFont="1" applyAlignment="1">
      <alignment horizontal="left"/>
    </xf>
    <xf numFmtId="0" fontId="5" fillId="17" borderId="69" xfId="0" applyFont="1" applyFill="1" applyBorder="1" applyAlignment="1">
      <alignment horizontal="center" wrapText="1"/>
    </xf>
    <xf numFmtId="0" fontId="5" fillId="4" borderId="69" xfId="0" applyFont="1" applyFill="1" applyBorder="1" applyAlignment="1">
      <alignment horizontal="center" wrapText="1"/>
    </xf>
    <xf numFmtId="0" fontId="5" fillId="5" borderId="69" xfId="0" applyFont="1" applyFill="1" applyBorder="1" applyAlignment="1">
      <alignment horizontal="center" wrapText="1"/>
    </xf>
    <xf numFmtId="0" fontId="6" fillId="6" borderId="69" xfId="0" applyFont="1" applyFill="1" applyBorder="1" applyAlignment="1">
      <alignment horizontal="center" wrapText="1"/>
    </xf>
    <xf numFmtId="0" fontId="44" fillId="18" borderId="69" xfId="0" applyFont="1" applyFill="1" applyBorder="1" applyAlignment="1">
      <alignment horizontal="center" wrapText="1"/>
    </xf>
    <xf numFmtId="0" fontId="5" fillId="24" borderId="69" xfId="0" applyFont="1" applyFill="1" applyBorder="1" applyAlignment="1">
      <alignment horizontal="center" wrapText="1"/>
    </xf>
    <xf numFmtId="0" fontId="5" fillId="10" borderId="69" xfId="0" applyFont="1" applyFill="1" applyBorder="1" applyAlignment="1">
      <alignment horizontal="center" wrapText="1"/>
    </xf>
    <xf numFmtId="0" fontId="6" fillId="15" borderId="69" xfId="0" applyFont="1" applyFill="1" applyBorder="1" applyAlignment="1">
      <alignment horizontal="center" wrapText="1"/>
    </xf>
    <xf numFmtId="0" fontId="43" fillId="25" borderId="5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2" fillId="0" borderId="55" xfId="0" applyFont="1" applyBorder="1" applyAlignment="1">
      <alignment horizontal="center" vertical="center"/>
    </xf>
    <xf numFmtId="167" fontId="2" fillId="0" borderId="83" xfId="0" applyNumberFormat="1" applyFont="1" applyBorder="1" applyAlignment="1">
      <alignment horizontal="center" vertical="center"/>
    </xf>
    <xf numFmtId="0" fontId="43" fillId="0" borderId="53" xfId="0" applyFont="1" applyBorder="1"/>
    <xf numFmtId="0" fontId="43" fillId="0" borderId="5" xfId="0" applyFont="1" applyBorder="1"/>
    <xf numFmtId="0" fontId="43" fillId="25" borderId="34" xfId="0" applyFont="1" applyFill="1" applyBorder="1"/>
    <xf numFmtId="0" fontId="2" fillId="0" borderId="52" xfId="0" applyFont="1" applyBorder="1" applyAlignment="1">
      <alignment horizontal="center" vertical="center"/>
    </xf>
    <xf numFmtId="167" fontId="2" fillId="0" borderId="52" xfId="0" applyNumberFormat="1" applyFont="1" applyBorder="1" applyAlignment="1">
      <alignment horizontal="center" vertical="center"/>
    </xf>
    <xf numFmtId="0" fontId="24" fillId="0" borderId="64" xfId="0" applyFont="1" applyBorder="1"/>
    <xf numFmtId="167" fontId="24" fillId="0" borderId="64" xfId="0" applyNumberFormat="1" applyFont="1" applyBorder="1"/>
    <xf numFmtId="0" fontId="5" fillId="7" borderId="7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46" fillId="0" borderId="5" xfId="0" applyFont="1" applyBorder="1" applyAlignment="1">
      <alignment horizontal="center"/>
    </xf>
    <xf numFmtId="165" fontId="47" fillId="0" borderId="5" xfId="0" applyNumberFormat="1" applyFont="1" applyBorder="1"/>
    <xf numFmtId="167" fontId="29" fillId="0" borderId="5" xfId="0" applyNumberFormat="1" applyFont="1" applyBorder="1"/>
    <xf numFmtId="0" fontId="50" fillId="18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7" fillId="0" borderId="57" xfId="0" applyFont="1" applyBorder="1"/>
    <xf numFmtId="0" fontId="2" fillId="0" borderId="59" xfId="0" applyFont="1" applyBorder="1"/>
    <xf numFmtId="167" fontId="24" fillId="0" borderId="60" xfId="0" applyNumberFormat="1" applyFont="1" applyBorder="1" applyAlignment="1">
      <alignment vertical="center"/>
    </xf>
    <xf numFmtId="167" fontId="24" fillId="0" borderId="7" xfId="0" applyNumberFormat="1" applyFont="1" applyBorder="1" applyAlignment="1">
      <alignment vertical="center"/>
    </xf>
    <xf numFmtId="0" fontId="47" fillId="0" borderId="60" xfId="0" applyFont="1" applyBorder="1" applyAlignment="1">
      <alignment horizontal="center" vertical="center"/>
    </xf>
    <xf numFmtId="167" fontId="29" fillId="0" borderId="60" xfId="0" applyNumberFormat="1" applyFont="1" applyBorder="1" applyAlignment="1">
      <alignment vertical="center"/>
    </xf>
    <xf numFmtId="0" fontId="40" fillId="0" borderId="85" xfId="0" applyFont="1" applyBorder="1" applyAlignment="1">
      <alignment horizontal="center" vertical="center" wrapText="1"/>
    </xf>
    <xf numFmtId="0" fontId="50" fillId="18" borderId="86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0" borderId="90" xfId="0" applyFont="1" applyBorder="1"/>
    <xf numFmtId="0" fontId="2" fillId="0" borderId="91" xfId="0" applyFont="1" applyBorder="1"/>
    <xf numFmtId="165" fontId="2" fillId="0" borderId="91" xfId="0" applyNumberFormat="1" applyFont="1" applyBorder="1"/>
    <xf numFmtId="165" fontId="26" fillId="0" borderId="64" xfId="0" applyNumberFormat="1" applyFont="1" applyBorder="1"/>
    <xf numFmtId="0" fontId="2" fillId="0" borderId="0" xfId="0" applyFont="1" applyAlignment="1">
      <alignment horizontal="left"/>
    </xf>
    <xf numFmtId="0" fontId="40" fillId="27" borderId="3" xfId="0" applyFont="1" applyFill="1" applyBorder="1" applyAlignment="1">
      <alignment horizontal="center"/>
    </xf>
    <xf numFmtId="0" fontId="29" fillId="4" borderId="93" xfId="0" applyFont="1" applyFill="1" applyBorder="1" applyAlignment="1">
      <alignment horizontal="left"/>
    </xf>
    <xf numFmtId="0" fontId="2" fillId="17" borderId="1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28" borderId="7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2" fillId="13" borderId="7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5" borderId="5" xfId="0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5" fillId="17" borderId="5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29" fillId="23" borderId="93" xfId="0" applyFont="1" applyFill="1" applyBorder="1" applyAlignment="1">
      <alignment horizontal="left"/>
    </xf>
    <xf numFmtId="0" fontId="5" fillId="7" borderId="5" xfId="0" applyFont="1" applyFill="1" applyBorder="1" applyAlignment="1">
      <alignment horizontal="center"/>
    </xf>
    <xf numFmtId="0" fontId="2" fillId="18" borderId="30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29" fillId="17" borderId="93" xfId="0" applyFont="1" applyFill="1" applyBorder="1" applyAlignment="1">
      <alignment horizontal="left"/>
    </xf>
    <xf numFmtId="0" fontId="2" fillId="23" borderId="5" xfId="0" applyFont="1" applyFill="1" applyBorder="1" applyAlignment="1">
      <alignment horizontal="center"/>
    </xf>
    <xf numFmtId="0" fontId="2" fillId="28" borderId="5" xfId="0" applyFont="1" applyFill="1" applyBorder="1" applyAlignment="1">
      <alignment horizontal="center"/>
    </xf>
    <xf numFmtId="0" fontId="2" fillId="16" borderId="5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2" fillId="18" borderId="3" xfId="0" applyFont="1" applyFill="1" applyBorder="1" applyAlignment="1">
      <alignment horizontal="center"/>
    </xf>
    <xf numFmtId="0" fontId="16" fillId="18" borderId="3" xfId="0" applyFont="1" applyFill="1" applyBorder="1" applyAlignment="1">
      <alignment horizontal="center"/>
    </xf>
    <xf numFmtId="0" fontId="25" fillId="18" borderId="3" xfId="0" applyFont="1" applyFill="1" applyBorder="1" applyAlignment="1">
      <alignment horizontal="center"/>
    </xf>
    <xf numFmtId="0" fontId="5" fillId="10" borderId="5" xfId="0" applyFont="1" applyFill="1" applyBorder="1" applyAlignment="1">
      <alignment horizontal="center"/>
    </xf>
    <xf numFmtId="0" fontId="29" fillId="29" borderId="93" xfId="0" applyFont="1" applyFill="1" applyBorder="1" applyAlignment="1">
      <alignment horizontal="left"/>
    </xf>
    <xf numFmtId="0" fontId="48" fillId="28" borderId="0" xfId="0" applyFont="1" applyFill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5" fillId="13" borderId="5" xfId="0" applyFont="1" applyFill="1" applyBorder="1" applyAlignment="1">
      <alignment horizontal="center"/>
    </xf>
    <xf numFmtId="0" fontId="51" fillId="0" borderId="0" xfId="0" applyFont="1"/>
    <xf numFmtId="0" fontId="5" fillId="14" borderId="5" xfId="0" applyFont="1" applyFill="1" applyBorder="1" applyAlignment="1">
      <alignment horizontal="center"/>
    </xf>
    <xf numFmtId="0" fontId="6" fillId="15" borderId="34" xfId="0" applyFont="1" applyFill="1" applyBorder="1" applyAlignment="1">
      <alignment horizontal="center"/>
    </xf>
    <xf numFmtId="0" fontId="29" fillId="30" borderId="93" xfId="0" applyFont="1" applyFill="1" applyBorder="1" applyAlignment="1">
      <alignment horizontal="left"/>
    </xf>
    <xf numFmtId="0" fontId="29" fillId="5" borderId="93" xfId="0" applyFont="1" applyFill="1" applyBorder="1" applyAlignment="1">
      <alignment horizontal="left"/>
    </xf>
    <xf numFmtId="0" fontId="29" fillId="16" borderId="93" xfId="0" applyFont="1" applyFill="1" applyBorder="1" applyAlignment="1">
      <alignment horizontal="left"/>
    </xf>
    <xf numFmtId="0" fontId="7" fillId="15" borderId="34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center"/>
    </xf>
    <xf numFmtId="0" fontId="29" fillId="13" borderId="93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9" fillId="2" borderId="3" xfId="0" applyFont="1" applyFill="1" applyBorder="1"/>
    <xf numFmtId="0" fontId="29" fillId="2" borderId="94" xfId="0" applyFont="1" applyFill="1" applyBorder="1"/>
    <xf numFmtId="0" fontId="29" fillId="2" borderId="93" xfId="0" applyFont="1" applyFill="1" applyBorder="1" applyAlignment="1">
      <alignment horizontal="left"/>
    </xf>
    <xf numFmtId="1" fontId="16" fillId="15" borderId="5" xfId="0" applyNumberFormat="1" applyFont="1" applyFill="1" applyBorder="1" applyAlignment="1">
      <alignment horizontal="center"/>
    </xf>
    <xf numFmtId="0" fontId="2" fillId="2" borderId="95" xfId="0" applyFont="1" applyFill="1" applyBorder="1" applyAlignment="1">
      <alignment horizontal="center"/>
    </xf>
    <xf numFmtId="0" fontId="29" fillId="0" borderId="93" xfId="0" applyFont="1" applyBorder="1" applyAlignment="1">
      <alignment horizontal="left"/>
    </xf>
    <xf numFmtId="49" fontId="2" fillId="14" borderId="5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2" fillId="18" borderId="0" xfId="0" applyFont="1" applyFill="1" applyAlignment="1">
      <alignment horizontal="center"/>
    </xf>
    <xf numFmtId="0" fontId="16" fillId="18" borderId="0" xfId="0" applyFont="1" applyFill="1" applyAlignment="1">
      <alignment horizontal="center"/>
    </xf>
    <xf numFmtId="49" fontId="2" fillId="18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49" fontId="2" fillId="17" borderId="5" xfId="0" applyNumberFormat="1" applyFont="1" applyFill="1" applyBorder="1" applyAlignment="1">
      <alignment horizontal="center"/>
    </xf>
    <xf numFmtId="49" fontId="2" fillId="4" borderId="7" xfId="0" applyNumberFormat="1" applyFont="1" applyFill="1" applyBorder="1" applyAlignment="1">
      <alignment horizontal="center"/>
    </xf>
    <xf numFmtId="49" fontId="2" fillId="5" borderId="7" xfId="0" applyNumberFormat="1" applyFont="1" applyFill="1" applyBorder="1" applyAlignment="1">
      <alignment horizontal="center"/>
    </xf>
    <xf numFmtId="49" fontId="16" fillId="6" borderId="7" xfId="0" applyNumberFormat="1" applyFont="1" applyFill="1" applyBorder="1" applyAlignment="1">
      <alignment horizontal="center"/>
    </xf>
    <xf numFmtId="49" fontId="2" fillId="8" borderId="5" xfId="0" applyNumberFormat="1" applyFont="1" applyFill="1" applyBorder="1" applyAlignment="1">
      <alignment horizontal="center"/>
    </xf>
    <xf numFmtId="49" fontId="2" fillId="10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16" fillId="15" borderId="5" xfId="0" applyNumberFormat="1" applyFont="1" applyFill="1" applyBorder="1" applyAlignment="1">
      <alignment horizontal="center"/>
    </xf>
    <xf numFmtId="49" fontId="2" fillId="25" borderId="5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2" borderId="0" xfId="0" applyFont="1" applyFill="1"/>
    <xf numFmtId="0" fontId="16" fillId="2" borderId="0" xfId="0" applyFont="1" applyFill="1" applyAlignment="1">
      <alignment horizontal="center"/>
    </xf>
    <xf numFmtId="0" fontId="29" fillId="0" borderId="64" xfId="0" applyFont="1" applyBorder="1" applyAlignment="1">
      <alignment horizontal="left"/>
    </xf>
    <xf numFmtId="0" fontId="2" fillId="17" borderId="12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/>
    </xf>
    <xf numFmtId="0" fontId="2" fillId="19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9" borderId="12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28" borderId="12" xfId="0" applyFont="1" applyFill="1" applyBorder="1" applyAlignment="1">
      <alignment horizontal="center"/>
    </xf>
    <xf numFmtId="0" fontId="2" fillId="12" borderId="12" xfId="0" applyFont="1" applyFill="1" applyBorder="1" applyAlignment="1">
      <alignment horizontal="center"/>
    </xf>
    <xf numFmtId="0" fontId="2" fillId="13" borderId="12" xfId="0" applyFont="1" applyFill="1" applyBorder="1" applyAlignment="1">
      <alignment horizontal="center"/>
    </xf>
    <xf numFmtId="0" fontId="2" fillId="22" borderId="12" xfId="0" applyFont="1" applyFill="1" applyBorder="1" applyAlignment="1">
      <alignment horizontal="center"/>
    </xf>
    <xf numFmtId="0" fontId="2" fillId="18" borderId="12" xfId="0" applyFont="1" applyFill="1" applyBorder="1" applyAlignment="1">
      <alignment horizontal="center"/>
    </xf>
    <xf numFmtId="0" fontId="2" fillId="15" borderId="12" xfId="0" applyFont="1" applyFill="1" applyBorder="1" applyAlignment="1">
      <alignment horizontal="center"/>
    </xf>
    <xf numFmtId="0" fontId="2" fillId="25" borderId="12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5" fillId="6" borderId="5" xfId="0" applyFont="1" applyFill="1" applyBorder="1" applyAlignment="1">
      <alignment horizontal="center"/>
    </xf>
    <xf numFmtId="1" fontId="2" fillId="15" borderId="5" xfId="0" applyNumberFormat="1" applyFont="1" applyFill="1" applyBorder="1" applyAlignment="1">
      <alignment horizontal="center"/>
    </xf>
    <xf numFmtId="0" fontId="53" fillId="0" borderId="0" xfId="0" applyFont="1"/>
    <xf numFmtId="49" fontId="2" fillId="25" borderId="12" xfId="0" applyNumberFormat="1" applyFont="1" applyFill="1" applyBorder="1" applyAlignment="1">
      <alignment horizontal="center"/>
    </xf>
    <xf numFmtId="0" fontId="2" fillId="0" borderId="50" xfId="0" applyFont="1" applyBorder="1" applyAlignment="1">
      <alignment horizontal="left"/>
    </xf>
    <xf numFmtId="0" fontId="26" fillId="25" borderId="0" xfId="0" applyFont="1" applyFill="1" applyAlignment="1">
      <alignment horizontal="center"/>
    </xf>
    <xf numFmtId="0" fontId="2" fillId="0" borderId="50" xfId="0" applyFont="1" applyBorder="1"/>
    <xf numFmtId="0" fontId="29" fillId="0" borderId="87" xfId="0" applyFont="1" applyBorder="1" applyAlignment="1">
      <alignment horizontal="left"/>
    </xf>
    <xf numFmtId="0" fontId="29" fillId="0" borderId="88" xfId="0" applyFont="1" applyBorder="1" applyAlignment="1">
      <alignment horizontal="left"/>
    </xf>
    <xf numFmtId="0" fontId="2" fillId="0" borderId="88" xfId="0" applyFont="1" applyBorder="1" applyAlignment="1">
      <alignment horizontal="left"/>
    </xf>
    <xf numFmtId="9" fontId="29" fillId="0" borderId="45" xfId="0" applyNumberFormat="1" applyFont="1" applyBorder="1" applyAlignment="1">
      <alignment horizontal="left"/>
    </xf>
    <xf numFmtId="9" fontId="26" fillId="0" borderId="0" xfId="0" applyNumberFormat="1" applyFont="1"/>
    <xf numFmtId="0" fontId="2" fillId="11" borderId="7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2" fillId="14" borderId="5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0" fontId="2" fillId="0" borderId="59" xfId="0" applyFont="1" applyBorder="1" applyAlignment="1">
      <alignment horizontal="left"/>
    </xf>
    <xf numFmtId="0" fontId="5" fillId="0" borderId="50" xfId="0" applyFont="1" applyBorder="1" applyAlignment="1">
      <alignment horizontal="center" vertical="center" wrapText="1"/>
    </xf>
    <xf numFmtId="167" fontId="5" fillId="0" borderId="53" xfId="0" applyNumberFormat="1" applyFont="1" applyBorder="1" applyAlignment="1">
      <alignment horizontal="center" vertical="center"/>
    </xf>
    <xf numFmtId="167" fontId="2" fillId="0" borderId="0" xfId="0" applyNumberFormat="1" applyFont="1"/>
    <xf numFmtId="167" fontId="5" fillId="0" borderId="7" xfId="0" applyNumberFormat="1" applyFont="1" applyBorder="1" applyAlignment="1">
      <alignment horizontal="center"/>
    </xf>
    <xf numFmtId="167" fontId="24" fillId="0" borderId="46" xfId="0" applyNumberFormat="1" applyFont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167" fontId="5" fillId="0" borderId="53" xfId="0" applyNumberFormat="1" applyFont="1" applyBorder="1" applyAlignment="1">
      <alignment vertical="center"/>
    </xf>
    <xf numFmtId="167" fontId="0" fillId="0" borderId="0" xfId="0" applyNumberFormat="1"/>
    <xf numFmtId="0" fontId="5" fillId="2" borderId="53" xfId="0" applyFont="1" applyFill="1" applyBorder="1" applyAlignment="1">
      <alignment horizontal="center" vertical="center"/>
    </xf>
    <xf numFmtId="166" fontId="2" fillId="2" borderId="95" xfId="0" applyNumberFormat="1" applyFont="1" applyFill="1" applyBorder="1"/>
    <xf numFmtId="0" fontId="2" fillId="2" borderId="95" xfId="0" applyFont="1" applyFill="1" applyBorder="1"/>
    <xf numFmtId="0" fontId="17" fillId="17" borderId="16" xfId="0" applyFont="1" applyFill="1" applyBorder="1" applyAlignment="1">
      <alignment vertical="center"/>
    </xf>
    <xf numFmtId="0" fontId="5" fillId="2" borderId="53" xfId="0" applyFont="1" applyFill="1" applyBorder="1" applyAlignment="1">
      <alignment horizontal="center"/>
    </xf>
    <xf numFmtId="164" fontId="5" fillId="2" borderId="53" xfId="0" applyNumberFormat="1" applyFont="1" applyFill="1" applyBorder="1" applyAlignment="1">
      <alignment vertical="center"/>
    </xf>
    <xf numFmtId="0" fontId="5" fillId="2" borderId="111" xfId="0" applyFont="1" applyFill="1" applyBorder="1" applyAlignment="1">
      <alignment horizontal="center"/>
    </xf>
    <xf numFmtId="0" fontId="56" fillId="2" borderId="111" xfId="0" applyFont="1" applyFill="1" applyBorder="1" applyAlignment="1">
      <alignment horizontal="center"/>
    </xf>
    <xf numFmtId="164" fontId="2" fillId="2" borderId="111" xfId="0" applyNumberFormat="1" applyFont="1" applyFill="1" applyBorder="1"/>
    <xf numFmtId="167" fontId="2" fillId="2" borderId="111" xfId="0" applyNumberFormat="1" applyFont="1" applyFill="1" applyBorder="1"/>
    <xf numFmtId="167" fontId="4" fillId="0" borderId="111" xfId="0" applyNumberFormat="1" applyFont="1" applyBorder="1"/>
    <xf numFmtId="0" fontId="2" fillId="2" borderId="5" xfId="0" quotePrefix="1" applyFont="1" applyFill="1" applyBorder="1" applyAlignment="1">
      <alignment vertical="center"/>
    </xf>
    <xf numFmtId="0" fontId="56" fillId="2" borderId="112" xfId="0" applyFont="1" applyFill="1" applyBorder="1" applyAlignment="1">
      <alignment horizontal="center"/>
    </xf>
    <xf numFmtId="167" fontId="5" fillId="2" borderId="53" xfId="0" applyNumberFormat="1" applyFont="1" applyFill="1" applyBorder="1" applyAlignment="1">
      <alignment vertical="center"/>
    </xf>
    <xf numFmtId="167" fontId="5" fillId="2" borderId="5" xfId="0" applyNumberFormat="1" applyFont="1" applyFill="1" applyBorder="1" applyAlignment="1">
      <alignment vertical="center"/>
    </xf>
    <xf numFmtId="167" fontId="5" fillId="2" borderId="5" xfId="0" applyNumberFormat="1" applyFont="1" applyFill="1" applyBorder="1" applyAlignment="1">
      <alignment horizontal="center" vertical="center"/>
    </xf>
    <xf numFmtId="167" fontId="5" fillId="2" borderId="24" xfId="0" applyNumberFormat="1" applyFont="1" applyFill="1" applyBorder="1" applyAlignment="1">
      <alignment vertical="center"/>
    </xf>
    <xf numFmtId="167" fontId="2" fillId="2" borderId="3" xfId="0" applyNumberFormat="1" applyFont="1" applyFill="1" applyBorder="1"/>
    <xf numFmtId="0" fontId="9" fillId="17" borderId="16" xfId="0" applyFont="1" applyFill="1" applyBorder="1" applyAlignment="1">
      <alignment horizontal="center" vertical="center"/>
    </xf>
    <xf numFmtId="165" fontId="5" fillId="0" borderId="53" xfId="0" applyNumberFormat="1" applyFont="1" applyBorder="1" applyAlignment="1">
      <alignment horizontal="center" vertical="center"/>
    </xf>
    <xf numFmtId="0" fontId="5" fillId="2" borderId="111" xfId="0" applyFont="1" applyFill="1" applyBorder="1" applyAlignment="1">
      <alignment horizontal="center" vertical="center"/>
    </xf>
    <xf numFmtId="0" fontId="56" fillId="2" borderId="111" xfId="0" applyFont="1" applyFill="1" applyBorder="1" applyAlignment="1">
      <alignment horizontal="center" vertical="center"/>
    </xf>
    <xf numFmtId="164" fontId="2" fillId="2" borderId="111" xfId="0" applyNumberFormat="1" applyFont="1" applyFill="1" applyBorder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5" fillId="0" borderId="50" xfId="0" applyFont="1" applyBorder="1" applyAlignment="1">
      <alignment horizontal="center" vertical="center"/>
    </xf>
    <xf numFmtId="164" fontId="5" fillId="2" borderId="50" xfId="0" applyNumberFormat="1" applyFont="1" applyFill="1" applyBorder="1" applyAlignment="1">
      <alignment vertical="center"/>
    </xf>
    <xf numFmtId="0" fontId="17" fillId="17" borderId="50" xfId="0" applyFont="1" applyFill="1" applyBorder="1" applyAlignment="1">
      <alignment horizontal="center" vertical="center"/>
    </xf>
    <xf numFmtId="0" fontId="17" fillId="4" borderId="50" xfId="0" applyFont="1" applyFill="1" applyBorder="1" applyAlignment="1">
      <alignment horizontal="center" vertical="center"/>
    </xf>
    <xf numFmtId="0" fontId="17" fillId="5" borderId="50" xfId="0" applyFont="1" applyFill="1" applyBorder="1" applyAlignment="1">
      <alignment horizontal="center" vertical="center"/>
    </xf>
    <xf numFmtId="0" fontId="19" fillId="6" borderId="50" xfId="0" applyFont="1" applyFill="1" applyBorder="1" applyAlignment="1">
      <alignment horizontal="center" vertical="center"/>
    </xf>
    <xf numFmtId="0" fontId="17" fillId="7" borderId="50" xfId="0" applyFont="1" applyFill="1" applyBorder="1" applyAlignment="1">
      <alignment horizontal="center" vertical="center"/>
    </xf>
    <xf numFmtId="0" fontId="17" fillId="8" borderId="50" xfId="0" applyFont="1" applyFill="1" applyBorder="1" applyAlignment="1">
      <alignment horizontal="center" vertical="center"/>
    </xf>
    <xf numFmtId="0" fontId="17" fillId="9" borderId="50" xfId="0" applyFont="1" applyFill="1" applyBorder="1" applyAlignment="1">
      <alignment horizontal="center" vertical="center"/>
    </xf>
    <xf numFmtId="0" fontId="17" fillId="10" borderId="50" xfId="0" applyFont="1" applyFill="1" applyBorder="1" applyAlignment="1">
      <alignment horizontal="center" vertical="center"/>
    </xf>
    <xf numFmtId="0" fontId="17" fillId="11" borderId="50" xfId="0" applyFont="1" applyFill="1" applyBorder="1" applyAlignment="1">
      <alignment horizontal="center" vertical="center"/>
    </xf>
    <xf numFmtId="0" fontId="17" fillId="12" borderId="50" xfId="0" applyFont="1" applyFill="1" applyBorder="1" applyAlignment="1">
      <alignment horizontal="center" vertical="center"/>
    </xf>
    <xf numFmtId="0" fontId="17" fillId="13" borderId="50" xfId="0" applyFont="1" applyFill="1" applyBorder="1" applyAlignment="1">
      <alignment horizontal="center" vertical="center"/>
    </xf>
    <xf numFmtId="0" fontId="17" fillId="14" borderId="50" xfId="0" applyFont="1" applyFill="1" applyBorder="1" applyAlignment="1">
      <alignment horizontal="center" vertical="center"/>
    </xf>
    <xf numFmtId="0" fontId="17" fillId="2" borderId="50" xfId="0" applyFont="1" applyFill="1" applyBorder="1" applyAlignment="1">
      <alignment horizontal="center" vertical="center"/>
    </xf>
    <xf numFmtId="0" fontId="19" fillId="15" borderId="50" xfId="0" applyFont="1" applyFill="1" applyBorder="1" applyAlignment="1">
      <alignment horizontal="center" vertical="center"/>
    </xf>
    <xf numFmtId="0" fontId="2" fillId="18" borderId="50" xfId="0" applyFont="1" applyFill="1" applyBorder="1" applyAlignment="1">
      <alignment vertical="center"/>
    </xf>
    <xf numFmtId="165" fontId="2" fillId="18" borderId="50" xfId="0" applyNumberFormat="1" applyFont="1" applyFill="1" applyBorder="1" applyAlignment="1">
      <alignment vertical="center"/>
    </xf>
    <xf numFmtId="0" fontId="5" fillId="0" borderId="111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/>
    </xf>
    <xf numFmtId="0" fontId="2" fillId="2" borderId="111" xfId="0" applyFont="1" applyFill="1" applyBorder="1" applyAlignment="1">
      <alignment horizontal="center"/>
    </xf>
    <xf numFmtId="165" fontId="2" fillId="18" borderId="111" xfId="0" applyNumberFormat="1" applyFont="1" applyFill="1" applyBorder="1"/>
    <xf numFmtId="0" fontId="2" fillId="18" borderId="95" xfId="0" applyFont="1" applyFill="1" applyBorder="1"/>
    <xf numFmtId="167" fontId="2" fillId="18" borderId="95" xfId="0" applyNumberFormat="1" applyFont="1" applyFill="1" applyBorder="1"/>
    <xf numFmtId="0" fontId="17" fillId="17" borderId="16" xfId="0" applyFont="1" applyFill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/>
    </xf>
    <xf numFmtId="0" fontId="4" fillId="0" borderId="111" xfId="0" applyFont="1" applyBorder="1" applyAlignment="1">
      <alignment horizontal="center" vertical="center"/>
    </xf>
    <xf numFmtId="0" fontId="57" fillId="0" borderId="111" xfId="0" applyFont="1" applyBorder="1" applyAlignment="1">
      <alignment horizontal="center" vertical="center" wrapText="1"/>
    </xf>
    <xf numFmtId="164" fontId="4" fillId="0" borderId="111" xfId="0" applyNumberFormat="1" applyFont="1" applyBorder="1" applyAlignment="1">
      <alignment horizontal="center" vertical="center"/>
    </xf>
    <xf numFmtId="170" fontId="5" fillId="0" borderId="5" xfId="0" applyNumberFormat="1" applyFont="1" applyBorder="1" applyAlignment="1">
      <alignment horizontal="center"/>
    </xf>
    <xf numFmtId="170" fontId="5" fillId="2" borderId="111" xfId="0" applyNumberFormat="1" applyFont="1" applyFill="1" applyBorder="1" applyAlignment="1">
      <alignment horizontal="center" vertical="center"/>
    </xf>
    <xf numFmtId="0" fontId="56" fillId="2" borderId="111" xfId="0" applyFont="1" applyFill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/>
    </xf>
    <xf numFmtId="167" fontId="2" fillId="2" borderId="111" xfId="0" applyNumberFormat="1" applyFont="1" applyFill="1" applyBorder="1" applyAlignment="1">
      <alignment vertical="center"/>
    </xf>
    <xf numFmtId="167" fontId="2" fillId="2" borderId="111" xfId="0" applyNumberFormat="1" applyFont="1" applyFill="1" applyBorder="1" applyAlignment="1">
      <alignment horizontal="center" vertical="center"/>
    </xf>
    <xf numFmtId="0" fontId="17" fillId="17" borderId="39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2" fillId="2" borderId="23" xfId="0" applyFont="1" applyFill="1" applyBorder="1"/>
    <xf numFmtId="0" fontId="0" fillId="0" borderId="95" xfId="0" applyBorder="1"/>
    <xf numFmtId="0" fontId="17" fillId="17" borderId="53" xfId="0" applyFont="1" applyFill="1" applyBorder="1" applyAlignment="1">
      <alignment horizontal="center" vertical="center"/>
    </xf>
    <xf numFmtId="0" fontId="17" fillId="4" borderId="53" xfId="0" applyFont="1" applyFill="1" applyBorder="1" applyAlignment="1">
      <alignment horizontal="center" vertical="center"/>
    </xf>
    <xf numFmtId="0" fontId="17" fillId="5" borderId="53" xfId="0" applyFont="1" applyFill="1" applyBorder="1" applyAlignment="1">
      <alignment horizontal="center" vertical="center"/>
    </xf>
    <xf numFmtId="0" fontId="19" fillId="6" borderId="53" xfId="0" applyFont="1" applyFill="1" applyBorder="1" applyAlignment="1">
      <alignment horizontal="center" vertical="center"/>
    </xf>
    <xf numFmtId="0" fontId="17" fillId="7" borderId="53" xfId="0" applyFont="1" applyFill="1" applyBorder="1" applyAlignment="1">
      <alignment horizontal="center" vertical="center"/>
    </xf>
    <xf numFmtId="0" fontId="17" fillId="8" borderId="53" xfId="0" applyFont="1" applyFill="1" applyBorder="1" applyAlignment="1">
      <alignment horizontal="center" vertical="center"/>
    </xf>
    <xf numFmtId="0" fontId="17" fillId="9" borderId="53" xfId="0" applyFont="1" applyFill="1" applyBorder="1" applyAlignment="1">
      <alignment horizontal="center" vertical="center"/>
    </xf>
    <xf numFmtId="0" fontId="17" fillId="10" borderId="53" xfId="0" applyFont="1" applyFill="1" applyBorder="1" applyAlignment="1">
      <alignment horizontal="center" vertical="center"/>
    </xf>
    <xf numFmtId="0" fontId="17" fillId="11" borderId="53" xfId="0" applyFont="1" applyFill="1" applyBorder="1" applyAlignment="1">
      <alignment horizontal="center" vertical="center"/>
    </xf>
    <xf numFmtId="0" fontId="17" fillId="12" borderId="53" xfId="0" applyFont="1" applyFill="1" applyBorder="1" applyAlignment="1">
      <alignment horizontal="center" vertical="center"/>
    </xf>
    <xf numFmtId="0" fontId="17" fillId="13" borderId="53" xfId="0" applyFont="1" applyFill="1" applyBorder="1" applyAlignment="1">
      <alignment horizontal="center" vertical="center"/>
    </xf>
    <xf numFmtId="0" fontId="17" fillId="14" borderId="53" xfId="0" applyFont="1" applyFill="1" applyBorder="1" applyAlignment="1">
      <alignment horizontal="center" vertical="center"/>
    </xf>
    <xf numFmtId="0" fontId="17" fillId="2" borderId="53" xfId="0" applyFont="1" applyFill="1" applyBorder="1" applyAlignment="1">
      <alignment horizontal="center" vertical="center"/>
    </xf>
    <xf numFmtId="0" fontId="19" fillId="15" borderId="5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vertical="center"/>
    </xf>
    <xf numFmtId="0" fontId="5" fillId="2" borderId="62" xfId="0" applyFont="1" applyFill="1" applyBorder="1" applyAlignment="1">
      <alignment horizontal="center" vertical="center" wrapText="1"/>
    </xf>
    <xf numFmtId="0" fontId="17" fillId="17" borderId="111" xfId="0" applyFont="1" applyFill="1" applyBorder="1" applyAlignment="1">
      <alignment horizontal="center" vertical="center"/>
    </xf>
    <xf numFmtId="0" fontId="17" fillId="4" borderId="111" xfId="0" applyFont="1" applyFill="1" applyBorder="1" applyAlignment="1">
      <alignment horizontal="center" vertical="center"/>
    </xf>
    <xf numFmtId="0" fontId="17" fillId="5" borderId="111" xfId="0" applyFont="1" applyFill="1" applyBorder="1" applyAlignment="1">
      <alignment horizontal="center" vertical="center"/>
    </xf>
    <xf numFmtId="0" fontId="19" fillId="6" borderId="111" xfId="0" applyFont="1" applyFill="1" applyBorder="1" applyAlignment="1">
      <alignment horizontal="center" vertical="center"/>
    </xf>
    <xf numFmtId="0" fontId="17" fillId="7" borderId="111" xfId="0" applyFont="1" applyFill="1" applyBorder="1" applyAlignment="1">
      <alignment horizontal="center" vertical="center"/>
    </xf>
    <xf numFmtId="0" fontId="17" fillId="8" borderId="111" xfId="0" applyFont="1" applyFill="1" applyBorder="1" applyAlignment="1">
      <alignment horizontal="center" vertical="center"/>
    </xf>
    <xf numFmtId="0" fontId="17" fillId="9" borderId="111" xfId="0" applyFont="1" applyFill="1" applyBorder="1" applyAlignment="1">
      <alignment horizontal="center" vertical="center"/>
    </xf>
    <xf numFmtId="0" fontId="17" fillId="10" borderId="111" xfId="0" applyFont="1" applyFill="1" applyBorder="1" applyAlignment="1">
      <alignment horizontal="center" vertical="center"/>
    </xf>
    <xf numFmtId="0" fontId="17" fillId="11" borderId="111" xfId="0" applyFont="1" applyFill="1" applyBorder="1" applyAlignment="1">
      <alignment horizontal="center" vertical="center"/>
    </xf>
    <xf numFmtId="0" fontId="17" fillId="12" borderId="111" xfId="0" applyFont="1" applyFill="1" applyBorder="1" applyAlignment="1">
      <alignment horizontal="center" vertical="center"/>
    </xf>
    <xf numFmtId="0" fontId="17" fillId="13" borderId="111" xfId="0" applyFont="1" applyFill="1" applyBorder="1" applyAlignment="1">
      <alignment horizontal="center" vertical="center"/>
    </xf>
    <xf numFmtId="0" fontId="17" fillId="14" borderId="111" xfId="0" applyFont="1" applyFill="1" applyBorder="1" applyAlignment="1">
      <alignment horizontal="center" vertical="center"/>
    </xf>
    <xf numFmtId="0" fontId="17" fillId="2" borderId="111" xfId="0" applyFont="1" applyFill="1" applyBorder="1" applyAlignment="1">
      <alignment horizontal="center" vertical="center"/>
    </xf>
    <xf numFmtId="0" fontId="19" fillId="15" borderId="111" xfId="0" applyFont="1" applyFill="1" applyBorder="1" applyAlignment="1">
      <alignment horizontal="center" vertical="center"/>
    </xf>
    <xf numFmtId="0" fontId="2" fillId="2" borderId="111" xfId="0" applyFont="1" applyFill="1" applyBorder="1" applyAlignment="1">
      <alignment vertical="center"/>
    </xf>
    <xf numFmtId="165" fontId="2" fillId="2" borderId="111" xfId="0" applyNumberFormat="1" applyFont="1" applyFill="1" applyBorder="1" applyAlignment="1">
      <alignment vertical="center"/>
    </xf>
    <xf numFmtId="0" fontId="5" fillId="2" borderId="98" xfId="0" applyFont="1" applyFill="1" applyBorder="1" applyAlignment="1">
      <alignment horizontal="center" vertical="center"/>
    </xf>
    <xf numFmtId="0" fontId="17" fillId="17" borderId="99" xfId="0" applyFont="1" applyFill="1" applyBorder="1" applyAlignment="1">
      <alignment horizontal="center" vertical="center"/>
    </xf>
    <xf numFmtId="0" fontId="56" fillId="0" borderId="59" xfId="0" applyFont="1" applyBorder="1" applyAlignment="1">
      <alignment horizontal="center" vertical="center"/>
    </xf>
    <xf numFmtId="0" fontId="57" fillId="0" borderId="60" xfId="0" applyFont="1" applyBorder="1"/>
    <xf numFmtId="167" fontId="5" fillId="0" borderId="0" xfId="0" applyNumberFormat="1" applyFont="1"/>
    <xf numFmtId="167" fontId="5" fillId="0" borderId="5" xfId="0" applyNumberFormat="1" applyFont="1" applyBorder="1" applyAlignment="1">
      <alignment horizontal="center"/>
    </xf>
    <xf numFmtId="167" fontId="43" fillId="0" borderId="0" xfId="0" applyNumberFormat="1" applyFont="1"/>
    <xf numFmtId="167" fontId="48" fillId="0" borderId="0" xfId="0" applyNumberFormat="1" applyFont="1"/>
    <xf numFmtId="167" fontId="29" fillId="0" borderId="7" xfId="0" applyNumberFormat="1" applyFont="1" applyBorder="1" applyAlignment="1">
      <alignment vertical="center"/>
    </xf>
    <xf numFmtId="167" fontId="5" fillId="0" borderId="4" xfId="0" applyNumberFormat="1" applyFont="1" applyBorder="1" applyAlignment="1">
      <alignment vertical="center"/>
    </xf>
    <xf numFmtId="167" fontId="2" fillId="0" borderId="0" xfId="0" applyNumberFormat="1" applyFont="1" applyAlignment="1">
      <alignment horizontal="center"/>
    </xf>
    <xf numFmtId="167" fontId="43" fillId="23" borderId="53" xfId="0" applyNumberFormat="1" applyFont="1" applyFill="1" applyBorder="1"/>
    <xf numFmtId="167" fontId="29" fillId="0" borderId="0" xfId="0" applyNumberFormat="1" applyFont="1"/>
    <xf numFmtId="167" fontId="43" fillId="23" borderId="60" xfId="0" applyNumberFormat="1" applyFont="1" applyFill="1" applyBorder="1"/>
    <xf numFmtId="167" fontId="43" fillId="23" borderId="24" xfId="0" applyNumberFormat="1" applyFont="1" applyFill="1" applyBorder="1"/>
    <xf numFmtId="167" fontId="2" fillId="18" borderId="5" xfId="0" applyNumberFormat="1" applyFont="1" applyFill="1" applyBorder="1"/>
    <xf numFmtId="167" fontId="5" fillId="0" borderId="50" xfId="0" applyNumberFormat="1" applyFont="1" applyBorder="1" applyAlignment="1">
      <alignment vertical="center"/>
    </xf>
    <xf numFmtId="167" fontId="2" fillId="18" borderId="0" xfId="0" applyNumberFormat="1" applyFont="1" applyFill="1"/>
    <xf numFmtId="167" fontId="27" fillId="0" borderId="0" xfId="0" applyNumberFormat="1" applyFont="1"/>
    <xf numFmtId="167" fontId="5" fillId="0" borderId="0" xfId="0" applyNumberFormat="1" applyFont="1" applyAlignment="1">
      <alignment horizontal="center"/>
    </xf>
    <xf numFmtId="171" fontId="0" fillId="0" borderId="0" xfId="0" applyNumberFormat="1"/>
    <xf numFmtId="171" fontId="2" fillId="0" borderId="0" xfId="0" applyNumberFormat="1" applyFont="1" applyAlignment="1">
      <alignment horizontal="center"/>
    </xf>
    <xf numFmtId="171" fontId="43" fillId="23" borderId="53" xfId="0" applyNumberFormat="1" applyFont="1" applyFill="1" applyBorder="1" applyAlignment="1">
      <alignment wrapText="1"/>
    </xf>
    <xf numFmtId="171" fontId="43" fillId="23" borderId="24" xfId="0" applyNumberFormat="1" applyFont="1" applyFill="1" applyBorder="1"/>
    <xf numFmtId="171" fontId="26" fillId="0" borderId="0" xfId="0" applyNumberFormat="1" applyFont="1"/>
    <xf numFmtId="171" fontId="5" fillId="18" borderId="5" xfId="0" applyNumberFormat="1" applyFont="1" applyFill="1" applyBorder="1" applyAlignment="1">
      <alignment horizontal="center"/>
    </xf>
    <xf numFmtId="171" fontId="2" fillId="18" borderId="5" xfId="0" applyNumberFormat="1" applyFont="1" applyFill="1" applyBorder="1" applyAlignment="1">
      <alignment horizontal="center" vertical="center"/>
    </xf>
    <xf numFmtId="171" fontId="29" fillId="0" borderId="0" xfId="0" applyNumberFormat="1" applyFont="1"/>
    <xf numFmtId="171" fontId="29" fillId="0" borderId="5" xfId="0" applyNumberFormat="1" applyFont="1" applyBorder="1"/>
    <xf numFmtId="171" fontId="24" fillId="0" borderId="60" xfId="0" applyNumberFormat="1" applyFont="1" applyBorder="1" applyAlignment="1">
      <alignment vertical="center"/>
    </xf>
    <xf numFmtId="171" fontId="5" fillId="0" borderId="53" xfId="0" applyNumberFormat="1" applyFont="1" applyBorder="1" applyAlignment="1">
      <alignment vertical="center"/>
    </xf>
    <xf numFmtId="171" fontId="24" fillId="0" borderId="7" xfId="0" applyNumberFormat="1" applyFont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171" fontId="2" fillId="18" borderId="34" xfId="0" applyNumberFormat="1" applyFont="1" applyFill="1" applyBorder="1"/>
    <xf numFmtId="171" fontId="29" fillId="0" borderId="60" xfId="0" applyNumberFormat="1" applyFont="1" applyBorder="1" applyAlignment="1">
      <alignment vertical="center"/>
    </xf>
    <xf numFmtId="171" fontId="5" fillId="0" borderId="50" xfId="0" applyNumberFormat="1" applyFont="1" applyBorder="1" applyAlignment="1">
      <alignment vertical="center"/>
    </xf>
    <xf numFmtId="171" fontId="2" fillId="0" borderId="0" xfId="0" applyNumberFormat="1" applyFont="1"/>
    <xf numFmtId="167" fontId="2" fillId="18" borderId="5" xfId="0" applyNumberFormat="1" applyFont="1" applyFill="1" applyBorder="1" applyAlignment="1">
      <alignment horizontal="center"/>
    </xf>
    <xf numFmtId="167" fontId="5" fillId="2" borderId="50" xfId="0" applyNumberFormat="1" applyFont="1" applyFill="1" applyBorder="1" applyAlignment="1">
      <alignment vertical="center"/>
    </xf>
    <xf numFmtId="167" fontId="5" fillId="2" borderId="111" xfId="0" applyNumberFormat="1" applyFont="1" applyFill="1" applyBorder="1" applyAlignment="1">
      <alignment vertical="center"/>
    </xf>
    <xf numFmtId="167" fontId="2" fillId="0" borderId="95" xfId="0" applyNumberFormat="1" applyFont="1" applyBorder="1" applyAlignment="1">
      <alignment horizontal="center"/>
    </xf>
    <xf numFmtId="167" fontId="2" fillId="2" borderId="95" xfId="0" applyNumberFormat="1" applyFont="1" applyFill="1" applyBorder="1" applyAlignment="1">
      <alignment horizontal="center"/>
    </xf>
    <xf numFmtId="167" fontId="5" fillId="18" borderId="5" xfId="0" applyNumberFormat="1" applyFont="1" applyFill="1" applyBorder="1" applyAlignment="1">
      <alignment horizontal="center" vertical="center"/>
    </xf>
    <xf numFmtId="164" fontId="2" fillId="17" borderId="73" xfId="0" applyNumberFormat="1" applyFont="1" applyFill="1" applyBorder="1" applyAlignment="1">
      <alignment horizontal="center" vertical="center"/>
    </xf>
    <xf numFmtId="164" fontId="2" fillId="7" borderId="73" xfId="0" applyNumberFormat="1" applyFont="1" applyFill="1" applyBorder="1" applyAlignment="1">
      <alignment horizontal="center" vertical="center"/>
    </xf>
    <xf numFmtId="164" fontId="2" fillId="17" borderId="7" xfId="0" applyNumberFormat="1" applyFont="1" applyFill="1" applyBorder="1" applyAlignment="1">
      <alignment horizontal="center" vertical="center"/>
    </xf>
    <xf numFmtId="0" fontId="17" fillId="17" borderId="53" xfId="0" applyFont="1" applyFill="1" applyBorder="1" applyAlignment="1">
      <alignment vertical="center"/>
    </xf>
    <xf numFmtId="0" fontId="17" fillId="4" borderId="53" xfId="0" applyFont="1" applyFill="1" applyBorder="1" applyAlignment="1">
      <alignment vertical="center"/>
    </xf>
    <xf numFmtId="0" fontId="17" fillId="5" borderId="53" xfId="0" applyFont="1" applyFill="1" applyBorder="1" applyAlignment="1">
      <alignment vertical="center"/>
    </xf>
    <xf numFmtId="0" fontId="19" fillId="6" borderId="53" xfId="0" applyFont="1" applyFill="1" applyBorder="1" applyAlignment="1">
      <alignment vertical="center"/>
    </xf>
    <xf numFmtId="0" fontId="17" fillId="7" borderId="53" xfId="0" applyFont="1" applyFill="1" applyBorder="1" applyAlignment="1">
      <alignment vertical="center"/>
    </xf>
    <xf numFmtId="0" fontId="17" fillId="8" borderId="53" xfId="0" applyFont="1" applyFill="1" applyBorder="1" applyAlignment="1">
      <alignment vertical="center"/>
    </xf>
    <xf numFmtId="0" fontId="17" fillId="9" borderId="53" xfId="0" applyFont="1" applyFill="1" applyBorder="1" applyAlignment="1">
      <alignment vertical="center"/>
    </xf>
    <xf numFmtId="0" fontId="17" fillId="10" borderId="53" xfId="0" applyFont="1" applyFill="1" applyBorder="1" applyAlignment="1">
      <alignment vertical="center"/>
    </xf>
    <xf numFmtId="0" fontId="17" fillId="11" borderId="53" xfId="0" applyFont="1" applyFill="1" applyBorder="1" applyAlignment="1">
      <alignment vertical="center"/>
    </xf>
    <xf numFmtId="0" fontId="17" fillId="12" borderId="53" xfId="0" applyFont="1" applyFill="1" applyBorder="1" applyAlignment="1">
      <alignment vertical="center"/>
    </xf>
    <xf numFmtId="0" fontId="17" fillId="13" borderId="53" xfId="0" applyFont="1" applyFill="1" applyBorder="1" applyAlignment="1">
      <alignment vertical="center"/>
    </xf>
    <xf numFmtId="0" fontId="17" fillId="14" borderId="53" xfId="0" applyFont="1" applyFill="1" applyBorder="1" applyAlignment="1">
      <alignment vertical="center"/>
    </xf>
    <xf numFmtId="0" fontId="17" fillId="2" borderId="53" xfId="0" applyFont="1" applyFill="1" applyBorder="1" applyAlignment="1">
      <alignment vertical="center"/>
    </xf>
    <xf numFmtId="0" fontId="19" fillId="15" borderId="5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9" fillId="2" borderId="10" xfId="0" applyFont="1" applyFill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15" fillId="2" borderId="1" xfId="0" applyFont="1" applyFill="1" applyBorder="1" applyAlignment="1">
      <alignment horizontal="center"/>
    </xf>
    <xf numFmtId="0" fontId="5" fillId="2" borderId="111" xfId="0" applyFont="1" applyFill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77" xfId="0" applyFont="1" applyBorder="1" applyAlignment="1">
      <alignment horizontal="center"/>
    </xf>
    <xf numFmtId="0" fontId="15" fillId="2" borderId="19" xfId="0" applyFont="1" applyFill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0" fillId="0" borderId="0" xfId="0"/>
    <xf numFmtId="0" fontId="20" fillId="2" borderId="1" xfId="0" applyFont="1" applyFill="1" applyBorder="1" applyAlignment="1">
      <alignment horizontal="center"/>
    </xf>
    <xf numFmtId="0" fontId="5" fillId="2" borderId="111" xfId="0" applyFont="1" applyFill="1" applyBorder="1" applyAlignment="1">
      <alignment horizontal="center" vertical="center"/>
    </xf>
    <xf numFmtId="0" fontId="15" fillId="18" borderId="19" xfId="0" applyFont="1" applyFill="1" applyBorder="1" applyAlignment="1">
      <alignment horizontal="center" wrapText="1"/>
    </xf>
    <xf numFmtId="0" fontId="2" fillId="2" borderId="111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/>
    </xf>
    <xf numFmtId="0" fontId="4" fillId="0" borderId="113" xfId="0" applyFont="1" applyBorder="1"/>
    <xf numFmtId="0" fontId="4" fillId="0" borderId="97" xfId="0" applyFont="1" applyBorder="1"/>
    <xf numFmtId="0" fontId="9" fillId="2" borderId="1" xfId="0" applyFont="1" applyFill="1" applyBorder="1" applyAlignment="1">
      <alignment horizontal="center"/>
    </xf>
    <xf numFmtId="0" fontId="54" fillId="0" borderId="11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111" xfId="0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4" fillId="0" borderId="58" xfId="0" applyFont="1" applyBorder="1"/>
    <xf numFmtId="0" fontId="37" fillId="0" borderId="59" xfId="0" applyFont="1" applyBorder="1" applyAlignment="1">
      <alignment horizontal="center" vertical="center"/>
    </xf>
    <xf numFmtId="0" fontId="4" fillId="0" borderId="59" xfId="0" applyFont="1" applyBorder="1"/>
    <xf numFmtId="0" fontId="41" fillId="0" borderId="57" xfId="0" applyFont="1" applyBorder="1" applyAlignment="1">
      <alignment horizontal="center" vertical="center" wrapText="1"/>
    </xf>
    <xf numFmtId="0" fontId="42" fillId="0" borderId="5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33" fillId="0" borderId="43" xfId="0" applyFont="1" applyBorder="1" applyAlignment="1">
      <alignment horizontal="left" vertical="center"/>
    </xf>
    <xf numFmtId="0" fontId="4" fillId="0" borderId="44" xfId="0" applyFont="1" applyBorder="1"/>
    <xf numFmtId="0" fontId="34" fillId="0" borderId="45" xfId="0" applyFont="1" applyBorder="1" applyAlignment="1">
      <alignment horizontal="center" vertical="center"/>
    </xf>
    <xf numFmtId="0" fontId="4" fillId="0" borderId="45" xfId="0" applyFont="1" applyBorder="1"/>
    <xf numFmtId="0" fontId="2" fillId="0" borderId="50" xfId="0" applyFont="1" applyBorder="1" applyAlignment="1">
      <alignment horizontal="center" vertical="center"/>
    </xf>
    <xf numFmtId="0" fontId="4" fillId="0" borderId="52" xfId="0" applyFont="1" applyBorder="1"/>
    <xf numFmtId="0" fontId="4" fillId="0" borderId="53" xfId="0" applyFont="1" applyBorder="1"/>
    <xf numFmtId="0" fontId="21" fillId="0" borderId="50" xfId="0" applyFont="1" applyBorder="1" applyAlignment="1">
      <alignment horizontal="center" vertical="center"/>
    </xf>
    <xf numFmtId="0" fontId="4" fillId="0" borderId="55" xfId="0" applyFont="1" applyBorder="1"/>
    <xf numFmtId="0" fontId="33" fillId="0" borderId="57" xfId="0" applyFont="1" applyBorder="1" applyAlignment="1">
      <alignment horizontal="center" vertical="center" wrapText="1"/>
    </xf>
    <xf numFmtId="0" fontId="27" fillId="0" borderId="57" xfId="0" applyFont="1" applyBorder="1" applyAlignment="1">
      <alignment wrapText="1"/>
    </xf>
    <xf numFmtId="164" fontId="9" fillId="11" borderId="43" xfId="0" applyNumberFormat="1" applyFont="1" applyFill="1" applyBorder="1" applyAlignment="1">
      <alignment horizontal="center"/>
    </xf>
    <xf numFmtId="0" fontId="4" fillId="0" borderId="65" xfId="0" applyFont="1" applyBorder="1"/>
    <xf numFmtId="0" fontId="4" fillId="0" borderId="66" xfId="0" applyFont="1" applyBorder="1"/>
    <xf numFmtId="0" fontId="4" fillId="0" borderId="67" xfId="0" applyFont="1" applyBorder="1"/>
    <xf numFmtId="0" fontId="4" fillId="0" borderId="68" xfId="0" applyFont="1" applyBorder="1"/>
    <xf numFmtId="164" fontId="5" fillId="0" borderId="10" xfId="0" applyNumberFormat="1" applyFont="1" applyBorder="1" applyAlignment="1">
      <alignment horizontal="center"/>
    </xf>
    <xf numFmtId="0" fontId="5" fillId="0" borderId="59" xfId="0" applyFont="1" applyBorder="1" applyAlignment="1">
      <alignment horizontal="center" vertical="center"/>
    </xf>
    <xf numFmtId="0" fontId="27" fillId="0" borderId="71" xfId="0" applyFont="1" applyBorder="1"/>
    <xf numFmtId="0" fontId="4" fillId="0" borderId="72" xfId="0" applyFont="1" applyBorder="1"/>
    <xf numFmtId="0" fontId="29" fillId="0" borderId="75" xfId="0" applyFont="1" applyBorder="1" applyAlignment="1">
      <alignment horizontal="center" vertical="center"/>
    </xf>
    <xf numFmtId="0" fontId="4" fillId="0" borderId="18" xfId="0" applyFont="1" applyBorder="1"/>
    <xf numFmtId="0" fontId="5" fillId="0" borderId="8" xfId="0" applyFont="1" applyBorder="1" applyAlignment="1">
      <alignment horizontal="center" vertical="center"/>
    </xf>
    <xf numFmtId="0" fontId="40" fillId="0" borderId="78" xfId="0" applyFont="1" applyBorder="1" applyAlignment="1">
      <alignment horizontal="center" vertical="center"/>
    </xf>
    <xf numFmtId="0" fontId="26" fillId="0" borderId="0" xfId="0" applyFont="1"/>
    <xf numFmtId="0" fontId="27" fillId="0" borderId="10" xfId="0" applyFont="1" applyBorder="1" applyAlignment="1">
      <alignment wrapText="1"/>
    </xf>
    <xf numFmtId="164" fontId="5" fillId="0" borderId="0" xfId="0" applyNumberFormat="1" applyFont="1"/>
    <xf numFmtId="164" fontId="5" fillId="0" borderId="8" xfId="0" applyNumberFormat="1" applyFont="1" applyBorder="1" applyAlignment="1">
      <alignment horizontal="center"/>
    </xf>
    <xf numFmtId="0" fontId="4" fillId="0" borderId="84" xfId="0" applyFont="1" applyBorder="1"/>
    <xf numFmtId="0" fontId="40" fillId="0" borderId="57" xfId="0" applyFont="1" applyBorder="1" applyAlignment="1">
      <alignment horizontal="center" vertical="center"/>
    </xf>
    <xf numFmtId="0" fontId="26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26" fillId="0" borderId="57" xfId="0" applyFont="1" applyBorder="1"/>
    <xf numFmtId="0" fontId="4" fillId="0" borderId="70" xfId="0" applyFont="1" applyBorder="1"/>
    <xf numFmtId="0" fontId="2" fillId="0" borderId="75" xfId="0" applyFont="1" applyBorder="1"/>
    <xf numFmtId="0" fontId="4" fillId="0" borderId="92" xfId="0" applyFont="1" applyBorder="1"/>
    <xf numFmtId="0" fontId="2" fillId="0" borderId="75" xfId="0" applyFont="1" applyBorder="1" applyAlignment="1">
      <alignment horizontal="left"/>
    </xf>
    <xf numFmtId="0" fontId="54" fillId="0" borderId="57" xfId="0" applyFont="1" applyBorder="1"/>
    <xf numFmtId="0" fontId="2" fillId="0" borderId="101" xfId="0" applyFont="1" applyBorder="1"/>
    <xf numFmtId="0" fontId="4" fillId="0" borderId="102" xfId="0" applyFont="1" applyBorder="1"/>
    <xf numFmtId="165" fontId="5" fillId="0" borderId="59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2" fillId="0" borderId="103" xfId="0" applyFont="1" applyBorder="1"/>
    <xf numFmtId="0" fontId="4" fillId="0" borderId="104" xfId="0" applyFont="1" applyBorder="1"/>
    <xf numFmtId="0" fontId="4" fillId="0" borderId="105" xfId="0" applyFont="1" applyBorder="1"/>
    <xf numFmtId="10" fontId="29" fillId="0" borderId="100" xfId="0" applyNumberFormat="1" applyFont="1" applyBorder="1" applyAlignment="1">
      <alignment horizontal="left"/>
    </xf>
    <xf numFmtId="0" fontId="2" fillId="0" borderId="98" xfId="0" applyFont="1" applyBorder="1" applyAlignment="1">
      <alignment horizontal="left"/>
    </xf>
    <xf numFmtId="0" fontId="4" fillId="0" borderId="99" xfId="0" applyFont="1" applyBorder="1"/>
    <xf numFmtId="165" fontId="5" fillId="0" borderId="88" xfId="0" applyNumberFormat="1" applyFont="1" applyBorder="1" applyAlignment="1">
      <alignment horizontal="center"/>
    </xf>
    <xf numFmtId="0" fontId="29" fillId="0" borderId="43" xfId="0" applyFont="1" applyBorder="1" applyAlignment="1">
      <alignment horizontal="left"/>
    </xf>
    <xf numFmtId="0" fontId="31" fillId="26" borderId="75" xfId="0" applyFont="1" applyFill="1" applyBorder="1" applyAlignment="1">
      <alignment horizontal="center"/>
    </xf>
    <xf numFmtId="0" fontId="41" fillId="0" borderId="0" xfId="0" applyFont="1" applyAlignment="1">
      <alignment horizontal="left"/>
    </xf>
    <xf numFmtId="0" fontId="2" fillId="0" borderId="96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26" borderId="75" xfId="0" applyFont="1" applyFill="1" applyBorder="1" applyAlignment="1">
      <alignment horizontal="left"/>
    </xf>
    <xf numFmtId="0" fontId="29" fillId="27" borderId="106" xfId="0" applyFont="1" applyFill="1" applyBorder="1" applyAlignment="1">
      <alignment horizontal="left"/>
    </xf>
    <xf numFmtId="0" fontId="4" fillId="0" borderId="107" xfId="0" applyFont="1" applyBorder="1"/>
    <xf numFmtId="0" fontId="29" fillId="27" borderId="1" xfId="0" applyFont="1" applyFill="1" applyBorder="1" applyAlignment="1">
      <alignment horizontal="left"/>
    </xf>
    <xf numFmtId="0" fontId="29" fillId="0" borderId="75" xfId="0" applyFont="1" applyBorder="1" applyAlignment="1">
      <alignment horizontal="left"/>
    </xf>
    <xf numFmtId="0" fontId="29" fillId="0" borderId="57" xfId="0" applyFont="1" applyBorder="1" applyAlignment="1">
      <alignment horizontal="left"/>
    </xf>
    <xf numFmtId="9" fontId="29" fillId="0" borderId="108" xfId="0" applyNumberFormat="1" applyFont="1" applyBorder="1" applyAlignment="1">
      <alignment horizontal="left"/>
    </xf>
    <xf numFmtId="0" fontId="29" fillId="0" borderId="0" xfId="0" applyFont="1" applyAlignment="1">
      <alignment horizontal="left"/>
    </xf>
    <xf numFmtId="9" fontId="29" fillId="0" borderId="109" xfId="0" applyNumberFormat="1" applyFont="1" applyBorder="1" applyAlignment="1">
      <alignment horizontal="left"/>
    </xf>
    <xf numFmtId="0" fontId="4" fillId="0" borderId="110" xfId="0" applyFont="1" applyBorder="1"/>
    <xf numFmtId="0" fontId="4" fillId="0" borderId="95" xfId="0" applyFont="1" applyBorder="1"/>
    <xf numFmtId="0" fontId="0" fillId="0" borderId="0" xfId="0" applyAlignment="1">
      <alignment horizontal="center" vertical="center"/>
    </xf>
    <xf numFmtId="0" fontId="5" fillId="0" borderId="77" xfId="0" applyFont="1" applyBorder="1" applyAlignment="1">
      <alignment horizontal="center" vertical="center" wrapText="1"/>
    </xf>
    <xf numFmtId="0" fontId="5" fillId="2" borderId="95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2" fillId="2" borderId="95" xfId="0" applyFont="1" applyFill="1" applyBorder="1" applyAlignment="1">
      <alignment horizontal="center" vertical="center"/>
    </xf>
    <xf numFmtId="0" fontId="29" fillId="0" borderId="95" xfId="0" applyFont="1" applyBorder="1" applyAlignment="1">
      <alignment horizontal="left"/>
    </xf>
    <xf numFmtId="0" fontId="2" fillId="0" borderId="95" xfId="0" applyFont="1" applyFill="1" applyBorder="1" applyAlignment="1">
      <alignment horizontal="center"/>
    </xf>
    <xf numFmtId="0" fontId="16" fillId="0" borderId="95" xfId="0" applyFont="1" applyFill="1" applyBorder="1" applyAlignment="1">
      <alignment horizontal="center"/>
    </xf>
    <xf numFmtId="49" fontId="2" fillId="0" borderId="95" xfId="0" applyNumberFormat="1" applyFont="1" applyFill="1" applyBorder="1" applyAlignment="1">
      <alignment horizontal="center"/>
    </xf>
    <xf numFmtId="164" fontId="2" fillId="0" borderId="95" xfId="0" applyNumberFormat="1" applyFont="1" applyFill="1" applyBorder="1" applyAlignment="1">
      <alignment horizontal="center"/>
    </xf>
    <xf numFmtId="164" fontId="2" fillId="2" borderId="111" xfId="0" applyNumberFormat="1" applyFont="1" applyFill="1" applyBorder="1" applyAlignment="1">
      <alignment horizontal="center"/>
    </xf>
    <xf numFmtId="0" fontId="1" fillId="0" borderId="0" xfId="0" applyFont="1"/>
    <xf numFmtId="0" fontId="29" fillId="0" borderId="114" xfId="0" applyFont="1" applyBorder="1" applyAlignment="1">
      <alignment horizontal="left"/>
    </xf>
    <xf numFmtId="0" fontId="26" fillId="0" borderId="0" xfId="0" applyFont="1" applyFill="1" applyAlignment="1">
      <alignment horizontal="center"/>
    </xf>
    <xf numFmtId="0" fontId="2" fillId="0" borderId="95" xfId="0" applyFont="1" applyFill="1" applyBorder="1" applyAlignment="1">
      <alignment horizontal="center" vertical="center" wrapText="1"/>
    </xf>
    <xf numFmtId="0" fontId="16" fillId="0" borderId="95" xfId="0" applyFont="1" applyFill="1" applyBorder="1" applyAlignment="1">
      <alignment horizontal="center" vertical="center" wrapText="1"/>
    </xf>
    <xf numFmtId="167" fontId="5" fillId="0" borderId="76" xfId="0" applyNumberFormat="1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17" borderId="111" xfId="0" applyFont="1" applyFill="1" applyBorder="1" applyAlignment="1">
      <alignment horizontal="center" vertical="center" wrapText="1"/>
    </xf>
    <xf numFmtId="0" fontId="2" fillId="4" borderId="111" xfId="0" applyFont="1" applyFill="1" applyBorder="1" applyAlignment="1">
      <alignment horizontal="center" vertical="center" wrapText="1"/>
    </xf>
    <xf numFmtId="0" fontId="16" fillId="31" borderId="111" xfId="0" applyFont="1" applyFill="1" applyBorder="1" applyAlignment="1">
      <alignment horizontal="center" vertical="center" wrapText="1"/>
    </xf>
    <xf numFmtId="0" fontId="16" fillId="32" borderId="111" xfId="0" applyFont="1" applyFill="1" applyBorder="1" applyAlignment="1">
      <alignment horizontal="center" vertical="center" wrapText="1"/>
    </xf>
    <xf numFmtId="0" fontId="2" fillId="14" borderId="111" xfId="0" applyFont="1" applyFill="1" applyBorder="1" applyAlignment="1">
      <alignment horizontal="center" vertical="center" wrapText="1"/>
    </xf>
    <xf numFmtId="0" fontId="2" fillId="2" borderId="111" xfId="0" applyFont="1" applyFill="1" applyBorder="1" applyAlignment="1">
      <alignment horizontal="center" vertical="center" wrapText="1"/>
    </xf>
    <xf numFmtId="0" fontId="2" fillId="33" borderId="111" xfId="0" applyFont="1" applyFill="1" applyBorder="1" applyAlignment="1">
      <alignment horizontal="center" vertical="center" wrapText="1"/>
    </xf>
    <xf numFmtId="0" fontId="16" fillId="34" borderId="111" xfId="0" applyFont="1" applyFill="1" applyBorder="1" applyAlignment="1">
      <alignment horizontal="center" vertical="center" wrapText="1"/>
    </xf>
    <xf numFmtId="167" fontId="5" fillId="2" borderId="15" xfId="0" applyNumberFormat="1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53" xfId="0" applyFont="1" applyFill="1" applyBorder="1"/>
    <xf numFmtId="0" fontId="2" fillId="35" borderId="111" xfId="0" applyFont="1" applyFill="1" applyBorder="1" applyAlignment="1">
      <alignment horizontal="center" vertical="center" wrapText="1"/>
    </xf>
    <xf numFmtId="0" fontId="2" fillId="36" borderId="111" xfId="0" applyFont="1" applyFill="1" applyBorder="1" applyAlignment="1">
      <alignment horizontal="center" vertical="center" wrapText="1"/>
    </xf>
    <xf numFmtId="0" fontId="2" fillId="37" borderId="111" xfId="0" applyFont="1" applyFill="1" applyBorder="1" applyAlignment="1">
      <alignment horizontal="center" vertical="center" wrapText="1"/>
    </xf>
    <xf numFmtId="0" fontId="2" fillId="38" borderId="111" xfId="0" applyFont="1" applyFill="1" applyBorder="1" applyAlignment="1">
      <alignment horizontal="center" vertical="center" wrapText="1"/>
    </xf>
    <xf numFmtId="0" fontId="2" fillId="39" borderId="111" xfId="0" applyFont="1" applyFill="1" applyBorder="1" applyAlignment="1">
      <alignment horizontal="center" vertical="center" wrapText="1"/>
    </xf>
    <xf numFmtId="0" fontId="2" fillId="40" borderId="111" xfId="0" applyFont="1" applyFill="1" applyBorder="1" applyAlignment="1">
      <alignment horizontal="center" vertical="center" wrapText="1"/>
    </xf>
    <xf numFmtId="0" fontId="2" fillId="41" borderId="111" xfId="0" applyFont="1" applyFill="1" applyBorder="1" applyAlignment="1">
      <alignment horizontal="center" vertical="center" wrapText="1"/>
    </xf>
    <xf numFmtId="0" fontId="5" fillId="0" borderId="95" xfId="0" applyFont="1" applyFill="1" applyBorder="1" applyAlignment="1">
      <alignment vertical="center"/>
    </xf>
    <xf numFmtId="0" fontId="6" fillId="0" borderId="95" xfId="0" applyFont="1" applyFill="1" applyBorder="1" applyAlignment="1">
      <alignment vertical="center"/>
    </xf>
    <xf numFmtId="0" fontId="2" fillId="35" borderId="118" xfId="0" applyFont="1" applyFill="1" applyBorder="1" applyAlignment="1">
      <alignment horizontal="center" vertical="center" wrapText="1"/>
    </xf>
    <xf numFmtId="0" fontId="2" fillId="36" borderId="118" xfId="0" applyFont="1" applyFill="1" applyBorder="1" applyAlignment="1">
      <alignment horizontal="center" vertical="center" wrapText="1"/>
    </xf>
    <xf numFmtId="0" fontId="2" fillId="37" borderId="118" xfId="0" applyFont="1" applyFill="1" applyBorder="1" applyAlignment="1">
      <alignment horizontal="center" vertical="center" wrapText="1"/>
    </xf>
    <xf numFmtId="0" fontId="2" fillId="38" borderId="118" xfId="0" applyFont="1" applyFill="1" applyBorder="1" applyAlignment="1">
      <alignment horizontal="center" vertical="center" wrapText="1"/>
    </xf>
    <xf numFmtId="0" fontId="2" fillId="39" borderId="118" xfId="0" applyFont="1" applyFill="1" applyBorder="1" applyAlignment="1">
      <alignment horizontal="center" vertical="center" wrapText="1"/>
    </xf>
    <xf numFmtId="0" fontId="2" fillId="40" borderId="118" xfId="0" applyFont="1" applyFill="1" applyBorder="1" applyAlignment="1">
      <alignment horizontal="center" vertical="center" wrapText="1"/>
    </xf>
    <xf numFmtId="0" fontId="2" fillId="33" borderId="118" xfId="0" applyFont="1" applyFill="1" applyBorder="1" applyAlignment="1">
      <alignment horizontal="center" vertical="center" wrapText="1"/>
    </xf>
    <xf numFmtId="0" fontId="2" fillId="41" borderId="118" xfId="0" applyFont="1" applyFill="1" applyBorder="1" applyAlignment="1">
      <alignment horizontal="center" vertical="center" wrapText="1"/>
    </xf>
    <xf numFmtId="0" fontId="2" fillId="0" borderId="119" xfId="0" applyFont="1" applyFill="1" applyBorder="1" applyAlignment="1">
      <alignment horizontal="center"/>
    </xf>
    <xf numFmtId="0" fontId="2" fillId="0" borderId="120" xfId="0" applyFont="1" applyFill="1" applyBorder="1" applyAlignment="1">
      <alignment horizontal="center"/>
    </xf>
    <xf numFmtId="0" fontId="2" fillId="0" borderId="121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9" fillId="17" borderId="115" xfId="0" applyFont="1" applyFill="1" applyBorder="1" applyAlignment="1">
      <alignment horizontal="center" vertical="center" wrapText="1"/>
    </xf>
    <xf numFmtId="0" fontId="29" fillId="4" borderId="116" xfId="0" applyFont="1" applyFill="1" applyBorder="1" applyAlignment="1">
      <alignment horizontal="center" vertical="center" wrapText="1"/>
    </xf>
    <xf numFmtId="0" fontId="35" fillId="31" borderId="116" xfId="0" applyFont="1" applyFill="1" applyBorder="1" applyAlignment="1">
      <alignment horizontal="center" vertical="center" wrapText="1"/>
    </xf>
    <xf numFmtId="0" fontId="35" fillId="32" borderId="116" xfId="0" applyFont="1" applyFill="1" applyBorder="1" applyAlignment="1">
      <alignment horizontal="center" vertical="center" wrapText="1"/>
    </xf>
    <xf numFmtId="0" fontId="29" fillId="14" borderId="116" xfId="0" applyFont="1" applyFill="1" applyBorder="1" applyAlignment="1">
      <alignment horizontal="center" vertical="center" wrapText="1"/>
    </xf>
    <xf numFmtId="0" fontId="29" fillId="2" borderId="116" xfId="0" applyFont="1" applyFill="1" applyBorder="1" applyAlignment="1">
      <alignment horizontal="center" vertical="center" wrapText="1"/>
    </xf>
    <xf numFmtId="0" fontId="29" fillId="33" borderId="116" xfId="0" applyFont="1" applyFill="1" applyBorder="1" applyAlignment="1">
      <alignment horizontal="center" vertical="center" wrapText="1"/>
    </xf>
    <xf numFmtId="0" fontId="35" fillId="34" borderId="117" xfId="0" applyFont="1" applyFill="1" applyBorder="1" applyAlignment="1">
      <alignment horizontal="center" vertical="center" wrapText="1"/>
    </xf>
    <xf numFmtId="0" fontId="40" fillId="17" borderId="115" xfId="0" applyFont="1" applyFill="1" applyBorder="1" applyAlignment="1">
      <alignment horizontal="center" vertical="center" wrapText="1"/>
    </xf>
    <xf numFmtId="0" fontId="40" fillId="4" borderId="116" xfId="0" applyFont="1" applyFill="1" applyBorder="1" applyAlignment="1">
      <alignment horizontal="center" vertical="center" wrapText="1"/>
    </xf>
    <xf numFmtId="0" fontId="59" fillId="31" borderId="116" xfId="0" applyFont="1" applyFill="1" applyBorder="1" applyAlignment="1">
      <alignment horizontal="center" vertical="center" wrapText="1"/>
    </xf>
    <xf numFmtId="0" fontId="59" fillId="32" borderId="116" xfId="0" applyFont="1" applyFill="1" applyBorder="1" applyAlignment="1">
      <alignment horizontal="center" vertical="center" wrapText="1"/>
    </xf>
    <xf numFmtId="0" fontId="40" fillId="14" borderId="116" xfId="0" applyFont="1" applyFill="1" applyBorder="1" applyAlignment="1">
      <alignment horizontal="center" vertical="center" wrapText="1"/>
    </xf>
    <xf numFmtId="0" fontId="40" fillId="2" borderId="116" xfId="0" applyFont="1" applyFill="1" applyBorder="1" applyAlignment="1">
      <alignment horizontal="center" vertical="center" wrapText="1"/>
    </xf>
    <xf numFmtId="0" fontId="40" fillId="33" borderId="116" xfId="0" applyFont="1" applyFill="1" applyBorder="1" applyAlignment="1">
      <alignment horizontal="center" vertical="center" wrapText="1"/>
    </xf>
    <xf numFmtId="0" fontId="59" fillId="34" borderId="117" xfId="0" applyFont="1" applyFill="1" applyBorder="1" applyAlignment="1">
      <alignment horizontal="center" vertical="center" wrapText="1"/>
    </xf>
    <xf numFmtId="0" fontId="29" fillId="17" borderId="111" xfId="0" applyFont="1" applyFill="1" applyBorder="1" applyAlignment="1">
      <alignment horizontal="center" vertical="center" wrapText="1"/>
    </xf>
    <xf numFmtId="0" fontId="29" fillId="4" borderId="111" xfId="0" applyFont="1" applyFill="1" applyBorder="1" applyAlignment="1">
      <alignment horizontal="center" vertical="center" wrapText="1"/>
    </xf>
    <xf numFmtId="0" fontId="35" fillId="31" borderId="111" xfId="0" applyFont="1" applyFill="1" applyBorder="1" applyAlignment="1">
      <alignment horizontal="center" vertical="center" wrapText="1"/>
    </xf>
    <xf numFmtId="0" fontId="35" fillId="32" borderId="111" xfId="0" applyFont="1" applyFill="1" applyBorder="1" applyAlignment="1">
      <alignment horizontal="center" vertical="center" wrapText="1"/>
    </xf>
    <xf numFmtId="0" fontId="29" fillId="14" borderId="111" xfId="0" applyFont="1" applyFill="1" applyBorder="1" applyAlignment="1">
      <alignment horizontal="center" vertical="center" wrapText="1"/>
    </xf>
    <xf numFmtId="0" fontId="29" fillId="2" borderId="111" xfId="0" applyFont="1" applyFill="1" applyBorder="1" applyAlignment="1">
      <alignment horizontal="center" vertical="center" wrapText="1"/>
    </xf>
    <xf numFmtId="0" fontId="29" fillId="33" borderId="111" xfId="0" applyFont="1" applyFill="1" applyBorder="1" applyAlignment="1">
      <alignment horizontal="center" vertical="center" wrapText="1"/>
    </xf>
    <xf numFmtId="0" fontId="35" fillId="34" borderId="1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10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93.png"/><Relationship Id="rId18" Type="http://schemas.openxmlformats.org/officeDocument/2006/relationships/image" Target="../media/image198.png"/><Relationship Id="rId26" Type="http://schemas.openxmlformats.org/officeDocument/2006/relationships/image" Target="../media/image206.png"/><Relationship Id="rId3" Type="http://schemas.openxmlformats.org/officeDocument/2006/relationships/image" Target="../media/image183.png"/><Relationship Id="rId21" Type="http://schemas.openxmlformats.org/officeDocument/2006/relationships/image" Target="../media/image201.png"/><Relationship Id="rId34" Type="http://schemas.openxmlformats.org/officeDocument/2006/relationships/image" Target="../media/image214.png"/><Relationship Id="rId7" Type="http://schemas.openxmlformats.org/officeDocument/2006/relationships/image" Target="../media/image187.png"/><Relationship Id="rId12" Type="http://schemas.openxmlformats.org/officeDocument/2006/relationships/image" Target="../media/image192.png"/><Relationship Id="rId17" Type="http://schemas.openxmlformats.org/officeDocument/2006/relationships/image" Target="../media/image197.png"/><Relationship Id="rId25" Type="http://schemas.openxmlformats.org/officeDocument/2006/relationships/image" Target="../media/image205.png"/><Relationship Id="rId33" Type="http://schemas.openxmlformats.org/officeDocument/2006/relationships/image" Target="../media/image213.jpeg"/><Relationship Id="rId2" Type="http://schemas.openxmlformats.org/officeDocument/2006/relationships/image" Target="../media/image182.jpeg"/><Relationship Id="rId16" Type="http://schemas.openxmlformats.org/officeDocument/2006/relationships/image" Target="../media/image196.png"/><Relationship Id="rId20" Type="http://schemas.openxmlformats.org/officeDocument/2006/relationships/image" Target="../media/image200.png"/><Relationship Id="rId29" Type="http://schemas.openxmlformats.org/officeDocument/2006/relationships/image" Target="../media/image209.png"/><Relationship Id="rId1" Type="http://schemas.openxmlformats.org/officeDocument/2006/relationships/image" Target="../media/image181.jpeg"/><Relationship Id="rId6" Type="http://schemas.openxmlformats.org/officeDocument/2006/relationships/image" Target="../media/image186.png"/><Relationship Id="rId11" Type="http://schemas.openxmlformats.org/officeDocument/2006/relationships/image" Target="../media/image191.png"/><Relationship Id="rId24" Type="http://schemas.openxmlformats.org/officeDocument/2006/relationships/image" Target="../media/image204.png"/><Relationship Id="rId32" Type="http://schemas.openxmlformats.org/officeDocument/2006/relationships/image" Target="../media/image212.png"/><Relationship Id="rId5" Type="http://schemas.openxmlformats.org/officeDocument/2006/relationships/image" Target="../media/image185.png"/><Relationship Id="rId15" Type="http://schemas.openxmlformats.org/officeDocument/2006/relationships/image" Target="../media/image195.jpeg"/><Relationship Id="rId23" Type="http://schemas.openxmlformats.org/officeDocument/2006/relationships/image" Target="../media/image203.png"/><Relationship Id="rId28" Type="http://schemas.openxmlformats.org/officeDocument/2006/relationships/image" Target="../media/image208.png"/><Relationship Id="rId10" Type="http://schemas.openxmlformats.org/officeDocument/2006/relationships/image" Target="../media/image190.jpeg"/><Relationship Id="rId19" Type="http://schemas.openxmlformats.org/officeDocument/2006/relationships/image" Target="../media/image199.png"/><Relationship Id="rId31" Type="http://schemas.openxmlformats.org/officeDocument/2006/relationships/image" Target="../media/image211.png"/><Relationship Id="rId4" Type="http://schemas.openxmlformats.org/officeDocument/2006/relationships/image" Target="../media/image184.png"/><Relationship Id="rId9" Type="http://schemas.openxmlformats.org/officeDocument/2006/relationships/image" Target="../media/image189.png"/><Relationship Id="rId14" Type="http://schemas.openxmlformats.org/officeDocument/2006/relationships/image" Target="../media/image194.png"/><Relationship Id="rId22" Type="http://schemas.openxmlformats.org/officeDocument/2006/relationships/image" Target="../media/image202.png"/><Relationship Id="rId27" Type="http://schemas.openxmlformats.org/officeDocument/2006/relationships/image" Target="../media/image207.png"/><Relationship Id="rId30" Type="http://schemas.openxmlformats.org/officeDocument/2006/relationships/image" Target="../media/image210.png"/><Relationship Id="rId35" Type="http://schemas.openxmlformats.org/officeDocument/2006/relationships/image" Target="../media/image215.jpeg"/><Relationship Id="rId8" Type="http://schemas.openxmlformats.org/officeDocument/2006/relationships/image" Target="../media/image188.png"/></Relationships>
</file>

<file path=xl/drawings/_rels/drawing1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28.png"/><Relationship Id="rId18" Type="http://schemas.openxmlformats.org/officeDocument/2006/relationships/image" Target="../media/image233.png"/><Relationship Id="rId26" Type="http://schemas.openxmlformats.org/officeDocument/2006/relationships/image" Target="../media/image241.png"/><Relationship Id="rId39" Type="http://schemas.openxmlformats.org/officeDocument/2006/relationships/image" Target="../media/image254.png"/><Relationship Id="rId21" Type="http://schemas.openxmlformats.org/officeDocument/2006/relationships/image" Target="../media/image236.png"/><Relationship Id="rId34" Type="http://schemas.openxmlformats.org/officeDocument/2006/relationships/image" Target="../media/image249.png"/><Relationship Id="rId42" Type="http://schemas.openxmlformats.org/officeDocument/2006/relationships/image" Target="../media/image257.png"/><Relationship Id="rId47" Type="http://schemas.openxmlformats.org/officeDocument/2006/relationships/image" Target="../media/image262.png"/><Relationship Id="rId50" Type="http://schemas.openxmlformats.org/officeDocument/2006/relationships/image" Target="../media/image265.jpeg"/><Relationship Id="rId7" Type="http://schemas.openxmlformats.org/officeDocument/2006/relationships/image" Target="../media/image222.png"/><Relationship Id="rId2" Type="http://schemas.openxmlformats.org/officeDocument/2006/relationships/image" Target="../media/image217.png"/><Relationship Id="rId16" Type="http://schemas.openxmlformats.org/officeDocument/2006/relationships/image" Target="../media/image231.png"/><Relationship Id="rId29" Type="http://schemas.openxmlformats.org/officeDocument/2006/relationships/image" Target="../media/image244.png"/><Relationship Id="rId11" Type="http://schemas.openxmlformats.org/officeDocument/2006/relationships/image" Target="../media/image226.png"/><Relationship Id="rId24" Type="http://schemas.openxmlformats.org/officeDocument/2006/relationships/image" Target="../media/image239.png"/><Relationship Id="rId32" Type="http://schemas.openxmlformats.org/officeDocument/2006/relationships/image" Target="../media/image247.png"/><Relationship Id="rId37" Type="http://schemas.openxmlformats.org/officeDocument/2006/relationships/image" Target="../media/image252.png"/><Relationship Id="rId40" Type="http://schemas.openxmlformats.org/officeDocument/2006/relationships/image" Target="../media/image255.png"/><Relationship Id="rId45" Type="http://schemas.openxmlformats.org/officeDocument/2006/relationships/image" Target="../media/image260.jpeg"/><Relationship Id="rId5" Type="http://schemas.openxmlformats.org/officeDocument/2006/relationships/image" Target="../media/image220.png"/><Relationship Id="rId15" Type="http://schemas.openxmlformats.org/officeDocument/2006/relationships/image" Target="../media/image230.png"/><Relationship Id="rId23" Type="http://schemas.openxmlformats.org/officeDocument/2006/relationships/image" Target="../media/image238.png"/><Relationship Id="rId28" Type="http://schemas.openxmlformats.org/officeDocument/2006/relationships/image" Target="../media/image243.png"/><Relationship Id="rId36" Type="http://schemas.openxmlformats.org/officeDocument/2006/relationships/image" Target="../media/image251.png"/><Relationship Id="rId49" Type="http://schemas.openxmlformats.org/officeDocument/2006/relationships/image" Target="../media/image264.png"/><Relationship Id="rId10" Type="http://schemas.openxmlformats.org/officeDocument/2006/relationships/image" Target="../media/image225.png"/><Relationship Id="rId19" Type="http://schemas.openxmlformats.org/officeDocument/2006/relationships/image" Target="../media/image234.png"/><Relationship Id="rId31" Type="http://schemas.openxmlformats.org/officeDocument/2006/relationships/image" Target="../media/image246.jpeg"/><Relationship Id="rId44" Type="http://schemas.openxmlformats.org/officeDocument/2006/relationships/image" Target="../media/image259.png"/><Relationship Id="rId4" Type="http://schemas.openxmlformats.org/officeDocument/2006/relationships/image" Target="../media/image219.png"/><Relationship Id="rId9" Type="http://schemas.openxmlformats.org/officeDocument/2006/relationships/image" Target="../media/image224.png"/><Relationship Id="rId14" Type="http://schemas.openxmlformats.org/officeDocument/2006/relationships/image" Target="../media/image229.png"/><Relationship Id="rId22" Type="http://schemas.openxmlformats.org/officeDocument/2006/relationships/image" Target="../media/image237.png"/><Relationship Id="rId27" Type="http://schemas.openxmlformats.org/officeDocument/2006/relationships/image" Target="../media/image242.png"/><Relationship Id="rId30" Type="http://schemas.openxmlformats.org/officeDocument/2006/relationships/image" Target="../media/image245.png"/><Relationship Id="rId35" Type="http://schemas.openxmlformats.org/officeDocument/2006/relationships/image" Target="../media/image250.png"/><Relationship Id="rId43" Type="http://schemas.openxmlformats.org/officeDocument/2006/relationships/image" Target="../media/image258.png"/><Relationship Id="rId48" Type="http://schemas.openxmlformats.org/officeDocument/2006/relationships/image" Target="../media/image263.png"/><Relationship Id="rId8" Type="http://schemas.openxmlformats.org/officeDocument/2006/relationships/image" Target="../media/image223.png"/><Relationship Id="rId51" Type="http://schemas.openxmlformats.org/officeDocument/2006/relationships/image" Target="../media/image266.jpeg"/><Relationship Id="rId3" Type="http://schemas.openxmlformats.org/officeDocument/2006/relationships/image" Target="../media/image218.png"/><Relationship Id="rId12" Type="http://schemas.openxmlformats.org/officeDocument/2006/relationships/image" Target="../media/image227.png"/><Relationship Id="rId17" Type="http://schemas.openxmlformats.org/officeDocument/2006/relationships/image" Target="../media/image232.png"/><Relationship Id="rId25" Type="http://schemas.openxmlformats.org/officeDocument/2006/relationships/image" Target="../media/image240.png"/><Relationship Id="rId33" Type="http://schemas.openxmlformats.org/officeDocument/2006/relationships/image" Target="../media/image248.png"/><Relationship Id="rId38" Type="http://schemas.openxmlformats.org/officeDocument/2006/relationships/image" Target="../media/image253.png"/><Relationship Id="rId46" Type="http://schemas.openxmlformats.org/officeDocument/2006/relationships/image" Target="../media/image261.jpeg"/><Relationship Id="rId20" Type="http://schemas.openxmlformats.org/officeDocument/2006/relationships/image" Target="../media/image235.png"/><Relationship Id="rId41" Type="http://schemas.openxmlformats.org/officeDocument/2006/relationships/image" Target="../media/image256.png"/><Relationship Id="rId1" Type="http://schemas.openxmlformats.org/officeDocument/2006/relationships/image" Target="../media/image216.png"/><Relationship Id="rId6" Type="http://schemas.openxmlformats.org/officeDocument/2006/relationships/image" Target="../media/image221.png"/></Relationships>
</file>

<file path=xl/drawings/_rels/drawing1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79.png"/><Relationship Id="rId18" Type="http://schemas.openxmlformats.org/officeDocument/2006/relationships/image" Target="../media/image284.png"/><Relationship Id="rId26" Type="http://schemas.openxmlformats.org/officeDocument/2006/relationships/image" Target="../media/image292.png"/><Relationship Id="rId39" Type="http://schemas.openxmlformats.org/officeDocument/2006/relationships/image" Target="../media/image305.png"/><Relationship Id="rId21" Type="http://schemas.openxmlformats.org/officeDocument/2006/relationships/image" Target="../media/image287.png"/><Relationship Id="rId34" Type="http://schemas.openxmlformats.org/officeDocument/2006/relationships/image" Target="../media/image300.png"/><Relationship Id="rId42" Type="http://schemas.openxmlformats.org/officeDocument/2006/relationships/image" Target="../media/image308.png"/><Relationship Id="rId47" Type="http://schemas.openxmlformats.org/officeDocument/2006/relationships/image" Target="../media/image313.png"/><Relationship Id="rId7" Type="http://schemas.openxmlformats.org/officeDocument/2006/relationships/image" Target="../media/image273.png"/><Relationship Id="rId2" Type="http://schemas.openxmlformats.org/officeDocument/2006/relationships/image" Target="../media/image268.png"/><Relationship Id="rId16" Type="http://schemas.openxmlformats.org/officeDocument/2006/relationships/image" Target="../media/image282.png"/><Relationship Id="rId29" Type="http://schemas.openxmlformats.org/officeDocument/2006/relationships/image" Target="../media/image295.png"/><Relationship Id="rId1" Type="http://schemas.openxmlformats.org/officeDocument/2006/relationships/image" Target="../media/image267.png"/><Relationship Id="rId6" Type="http://schemas.openxmlformats.org/officeDocument/2006/relationships/image" Target="../media/image272.png"/><Relationship Id="rId11" Type="http://schemas.openxmlformats.org/officeDocument/2006/relationships/image" Target="../media/image277.png"/><Relationship Id="rId24" Type="http://schemas.openxmlformats.org/officeDocument/2006/relationships/image" Target="../media/image290.png"/><Relationship Id="rId32" Type="http://schemas.openxmlformats.org/officeDocument/2006/relationships/image" Target="../media/image298.png"/><Relationship Id="rId37" Type="http://schemas.openxmlformats.org/officeDocument/2006/relationships/image" Target="../media/image303.png"/><Relationship Id="rId40" Type="http://schemas.openxmlformats.org/officeDocument/2006/relationships/image" Target="../media/image306.png"/><Relationship Id="rId45" Type="http://schemas.openxmlformats.org/officeDocument/2006/relationships/image" Target="../media/image311.png"/><Relationship Id="rId5" Type="http://schemas.openxmlformats.org/officeDocument/2006/relationships/image" Target="../media/image271.png"/><Relationship Id="rId15" Type="http://schemas.openxmlformats.org/officeDocument/2006/relationships/image" Target="../media/image281.png"/><Relationship Id="rId23" Type="http://schemas.openxmlformats.org/officeDocument/2006/relationships/image" Target="../media/image289.png"/><Relationship Id="rId28" Type="http://schemas.openxmlformats.org/officeDocument/2006/relationships/image" Target="../media/image294.png"/><Relationship Id="rId36" Type="http://schemas.openxmlformats.org/officeDocument/2006/relationships/image" Target="../media/image302.png"/><Relationship Id="rId10" Type="http://schemas.openxmlformats.org/officeDocument/2006/relationships/image" Target="../media/image276.png"/><Relationship Id="rId19" Type="http://schemas.openxmlformats.org/officeDocument/2006/relationships/image" Target="../media/image285.png"/><Relationship Id="rId31" Type="http://schemas.openxmlformats.org/officeDocument/2006/relationships/image" Target="../media/image297.png"/><Relationship Id="rId44" Type="http://schemas.openxmlformats.org/officeDocument/2006/relationships/image" Target="../media/image310.png"/><Relationship Id="rId4" Type="http://schemas.openxmlformats.org/officeDocument/2006/relationships/image" Target="../media/image270.png"/><Relationship Id="rId9" Type="http://schemas.openxmlformats.org/officeDocument/2006/relationships/image" Target="../media/image275.png"/><Relationship Id="rId14" Type="http://schemas.openxmlformats.org/officeDocument/2006/relationships/image" Target="../media/image280.png"/><Relationship Id="rId22" Type="http://schemas.openxmlformats.org/officeDocument/2006/relationships/image" Target="../media/image288.png"/><Relationship Id="rId27" Type="http://schemas.openxmlformats.org/officeDocument/2006/relationships/image" Target="../media/image293.png"/><Relationship Id="rId30" Type="http://schemas.openxmlformats.org/officeDocument/2006/relationships/image" Target="../media/image296.png"/><Relationship Id="rId35" Type="http://schemas.openxmlformats.org/officeDocument/2006/relationships/image" Target="../media/image301.png"/><Relationship Id="rId43" Type="http://schemas.openxmlformats.org/officeDocument/2006/relationships/image" Target="../media/image309.png"/><Relationship Id="rId48" Type="http://schemas.openxmlformats.org/officeDocument/2006/relationships/image" Target="../media/image314.png"/><Relationship Id="rId8" Type="http://schemas.openxmlformats.org/officeDocument/2006/relationships/image" Target="../media/image274.png"/><Relationship Id="rId3" Type="http://schemas.openxmlformats.org/officeDocument/2006/relationships/image" Target="../media/image269.png"/><Relationship Id="rId12" Type="http://schemas.openxmlformats.org/officeDocument/2006/relationships/image" Target="../media/image278.png"/><Relationship Id="rId17" Type="http://schemas.openxmlformats.org/officeDocument/2006/relationships/image" Target="../media/image283.png"/><Relationship Id="rId25" Type="http://schemas.openxmlformats.org/officeDocument/2006/relationships/image" Target="../media/image291.png"/><Relationship Id="rId33" Type="http://schemas.openxmlformats.org/officeDocument/2006/relationships/image" Target="../media/image299.png"/><Relationship Id="rId38" Type="http://schemas.openxmlformats.org/officeDocument/2006/relationships/image" Target="../media/image304.png"/><Relationship Id="rId46" Type="http://schemas.openxmlformats.org/officeDocument/2006/relationships/image" Target="../media/image312.png"/><Relationship Id="rId20" Type="http://schemas.openxmlformats.org/officeDocument/2006/relationships/image" Target="../media/image286.png"/><Relationship Id="rId41" Type="http://schemas.openxmlformats.org/officeDocument/2006/relationships/image" Target="../media/image307.png"/></Relationships>
</file>

<file path=xl/drawings/_rels/drawing1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27.png"/><Relationship Id="rId18" Type="http://schemas.openxmlformats.org/officeDocument/2006/relationships/image" Target="../media/image332.png"/><Relationship Id="rId26" Type="http://schemas.openxmlformats.org/officeDocument/2006/relationships/image" Target="../media/image340.png"/><Relationship Id="rId39" Type="http://schemas.openxmlformats.org/officeDocument/2006/relationships/image" Target="../media/image353.png"/><Relationship Id="rId21" Type="http://schemas.openxmlformats.org/officeDocument/2006/relationships/image" Target="../media/image335.png"/><Relationship Id="rId34" Type="http://schemas.openxmlformats.org/officeDocument/2006/relationships/image" Target="../media/image348.png"/><Relationship Id="rId42" Type="http://schemas.openxmlformats.org/officeDocument/2006/relationships/image" Target="../media/image356.png"/><Relationship Id="rId47" Type="http://schemas.openxmlformats.org/officeDocument/2006/relationships/image" Target="../media/image361.png"/><Relationship Id="rId50" Type="http://schemas.openxmlformats.org/officeDocument/2006/relationships/image" Target="../media/image364.png"/><Relationship Id="rId7" Type="http://schemas.openxmlformats.org/officeDocument/2006/relationships/image" Target="../media/image321.png"/><Relationship Id="rId2" Type="http://schemas.openxmlformats.org/officeDocument/2006/relationships/image" Target="../media/image316.png"/><Relationship Id="rId16" Type="http://schemas.openxmlformats.org/officeDocument/2006/relationships/image" Target="../media/image330.png"/><Relationship Id="rId29" Type="http://schemas.openxmlformats.org/officeDocument/2006/relationships/image" Target="../media/image343.png"/><Relationship Id="rId11" Type="http://schemas.openxmlformats.org/officeDocument/2006/relationships/image" Target="../media/image325.png"/><Relationship Id="rId24" Type="http://schemas.openxmlformats.org/officeDocument/2006/relationships/image" Target="../media/image338.png"/><Relationship Id="rId32" Type="http://schemas.openxmlformats.org/officeDocument/2006/relationships/image" Target="../media/image346.png"/><Relationship Id="rId37" Type="http://schemas.openxmlformats.org/officeDocument/2006/relationships/image" Target="../media/image351.png"/><Relationship Id="rId40" Type="http://schemas.openxmlformats.org/officeDocument/2006/relationships/image" Target="../media/image354.png"/><Relationship Id="rId45" Type="http://schemas.openxmlformats.org/officeDocument/2006/relationships/image" Target="../media/image359.png"/><Relationship Id="rId53" Type="http://schemas.openxmlformats.org/officeDocument/2006/relationships/image" Target="../media/image367.png"/><Relationship Id="rId5" Type="http://schemas.openxmlformats.org/officeDocument/2006/relationships/image" Target="../media/image319.png"/><Relationship Id="rId10" Type="http://schemas.openxmlformats.org/officeDocument/2006/relationships/image" Target="../media/image324.png"/><Relationship Id="rId19" Type="http://schemas.openxmlformats.org/officeDocument/2006/relationships/image" Target="../media/image333.png"/><Relationship Id="rId31" Type="http://schemas.openxmlformats.org/officeDocument/2006/relationships/image" Target="../media/image345.png"/><Relationship Id="rId44" Type="http://schemas.openxmlformats.org/officeDocument/2006/relationships/image" Target="../media/image358.png"/><Relationship Id="rId52" Type="http://schemas.openxmlformats.org/officeDocument/2006/relationships/image" Target="../media/image366.png"/><Relationship Id="rId4" Type="http://schemas.openxmlformats.org/officeDocument/2006/relationships/image" Target="../media/image318.png"/><Relationship Id="rId9" Type="http://schemas.openxmlformats.org/officeDocument/2006/relationships/image" Target="../media/image323.png"/><Relationship Id="rId14" Type="http://schemas.openxmlformats.org/officeDocument/2006/relationships/image" Target="../media/image328.png"/><Relationship Id="rId22" Type="http://schemas.openxmlformats.org/officeDocument/2006/relationships/image" Target="../media/image336.png"/><Relationship Id="rId27" Type="http://schemas.openxmlformats.org/officeDocument/2006/relationships/image" Target="../media/image341.png"/><Relationship Id="rId30" Type="http://schemas.openxmlformats.org/officeDocument/2006/relationships/image" Target="../media/image344.png"/><Relationship Id="rId35" Type="http://schemas.openxmlformats.org/officeDocument/2006/relationships/image" Target="../media/image349.png"/><Relationship Id="rId43" Type="http://schemas.openxmlformats.org/officeDocument/2006/relationships/image" Target="../media/image357.png"/><Relationship Id="rId48" Type="http://schemas.openxmlformats.org/officeDocument/2006/relationships/image" Target="../media/image362.png"/><Relationship Id="rId8" Type="http://schemas.openxmlformats.org/officeDocument/2006/relationships/image" Target="../media/image322.png"/><Relationship Id="rId51" Type="http://schemas.openxmlformats.org/officeDocument/2006/relationships/image" Target="../media/image365.png"/><Relationship Id="rId3" Type="http://schemas.openxmlformats.org/officeDocument/2006/relationships/image" Target="../media/image317.png"/><Relationship Id="rId12" Type="http://schemas.openxmlformats.org/officeDocument/2006/relationships/image" Target="../media/image326.png"/><Relationship Id="rId17" Type="http://schemas.openxmlformats.org/officeDocument/2006/relationships/image" Target="../media/image331.png"/><Relationship Id="rId25" Type="http://schemas.openxmlformats.org/officeDocument/2006/relationships/image" Target="../media/image339.png"/><Relationship Id="rId33" Type="http://schemas.openxmlformats.org/officeDocument/2006/relationships/image" Target="../media/image347.png"/><Relationship Id="rId38" Type="http://schemas.openxmlformats.org/officeDocument/2006/relationships/image" Target="../media/image352.png"/><Relationship Id="rId46" Type="http://schemas.openxmlformats.org/officeDocument/2006/relationships/image" Target="../media/image360.png"/><Relationship Id="rId20" Type="http://schemas.openxmlformats.org/officeDocument/2006/relationships/image" Target="../media/image334.png"/><Relationship Id="rId41" Type="http://schemas.openxmlformats.org/officeDocument/2006/relationships/image" Target="../media/image355.png"/><Relationship Id="rId1" Type="http://schemas.openxmlformats.org/officeDocument/2006/relationships/image" Target="../media/image315.png"/><Relationship Id="rId6" Type="http://schemas.openxmlformats.org/officeDocument/2006/relationships/image" Target="../media/image320.png"/><Relationship Id="rId15" Type="http://schemas.openxmlformats.org/officeDocument/2006/relationships/image" Target="../media/image329.png"/><Relationship Id="rId23" Type="http://schemas.openxmlformats.org/officeDocument/2006/relationships/image" Target="../media/image337.png"/><Relationship Id="rId28" Type="http://schemas.openxmlformats.org/officeDocument/2006/relationships/image" Target="../media/image342.png"/><Relationship Id="rId36" Type="http://schemas.openxmlformats.org/officeDocument/2006/relationships/image" Target="../media/image350.png"/><Relationship Id="rId49" Type="http://schemas.openxmlformats.org/officeDocument/2006/relationships/image" Target="../media/image363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371.png"/><Relationship Id="rId18" Type="http://schemas.openxmlformats.org/officeDocument/2006/relationships/image" Target="../media/image376.png"/><Relationship Id="rId26" Type="http://schemas.openxmlformats.org/officeDocument/2006/relationships/image" Target="../media/image384.png"/><Relationship Id="rId3" Type="http://schemas.openxmlformats.org/officeDocument/2006/relationships/image" Target="../media/image368.png"/><Relationship Id="rId21" Type="http://schemas.openxmlformats.org/officeDocument/2006/relationships/image" Target="../media/image379.png"/><Relationship Id="rId34" Type="http://schemas.openxmlformats.org/officeDocument/2006/relationships/image" Target="../media/image387.png"/><Relationship Id="rId7" Type="http://schemas.openxmlformats.org/officeDocument/2006/relationships/image" Target="../media/image339.png"/><Relationship Id="rId12" Type="http://schemas.openxmlformats.org/officeDocument/2006/relationships/image" Target="../media/image370.png"/><Relationship Id="rId17" Type="http://schemas.openxmlformats.org/officeDocument/2006/relationships/image" Target="../media/image375.png"/><Relationship Id="rId25" Type="http://schemas.openxmlformats.org/officeDocument/2006/relationships/image" Target="../media/image383.png"/><Relationship Id="rId33" Type="http://schemas.openxmlformats.org/officeDocument/2006/relationships/image" Target="../media/image365.png"/><Relationship Id="rId2" Type="http://schemas.openxmlformats.org/officeDocument/2006/relationships/image" Target="../media/image316.png"/><Relationship Id="rId16" Type="http://schemas.openxmlformats.org/officeDocument/2006/relationships/image" Target="../media/image374.png"/><Relationship Id="rId20" Type="http://schemas.openxmlformats.org/officeDocument/2006/relationships/image" Target="../media/image378.png"/><Relationship Id="rId29" Type="http://schemas.openxmlformats.org/officeDocument/2006/relationships/image" Target="../media/image361.png"/><Relationship Id="rId1" Type="http://schemas.openxmlformats.org/officeDocument/2006/relationships/image" Target="../media/image315.png"/><Relationship Id="rId6" Type="http://schemas.openxmlformats.org/officeDocument/2006/relationships/image" Target="../media/image338.png"/><Relationship Id="rId11" Type="http://schemas.openxmlformats.org/officeDocument/2006/relationships/image" Target="../media/image343.png"/><Relationship Id="rId24" Type="http://schemas.openxmlformats.org/officeDocument/2006/relationships/image" Target="../media/image382.png"/><Relationship Id="rId32" Type="http://schemas.openxmlformats.org/officeDocument/2006/relationships/image" Target="../media/image386.png"/><Relationship Id="rId5" Type="http://schemas.openxmlformats.org/officeDocument/2006/relationships/image" Target="../media/image369.png"/><Relationship Id="rId15" Type="http://schemas.openxmlformats.org/officeDocument/2006/relationships/image" Target="../media/image373.png"/><Relationship Id="rId23" Type="http://schemas.openxmlformats.org/officeDocument/2006/relationships/image" Target="../media/image381.png"/><Relationship Id="rId28" Type="http://schemas.openxmlformats.org/officeDocument/2006/relationships/image" Target="../media/image360.png"/><Relationship Id="rId10" Type="http://schemas.openxmlformats.org/officeDocument/2006/relationships/image" Target="../media/image342.png"/><Relationship Id="rId19" Type="http://schemas.openxmlformats.org/officeDocument/2006/relationships/image" Target="../media/image377.png"/><Relationship Id="rId31" Type="http://schemas.openxmlformats.org/officeDocument/2006/relationships/image" Target="../media/image363.png"/><Relationship Id="rId4" Type="http://schemas.openxmlformats.org/officeDocument/2006/relationships/image" Target="../media/image318.png"/><Relationship Id="rId9" Type="http://schemas.openxmlformats.org/officeDocument/2006/relationships/image" Target="../media/image341.png"/><Relationship Id="rId14" Type="http://schemas.openxmlformats.org/officeDocument/2006/relationships/image" Target="../media/image372.png"/><Relationship Id="rId22" Type="http://schemas.openxmlformats.org/officeDocument/2006/relationships/image" Target="../media/image380.png"/><Relationship Id="rId27" Type="http://schemas.openxmlformats.org/officeDocument/2006/relationships/image" Target="../media/image359.png"/><Relationship Id="rId30" Type="http://schemas.openxmlformats.org/officeDocument/2006/relationships/image" Target="../media/image385.png"/><Relationship Id="rId35" Type="http://schemas.openxmlformats.org/officeDocument/2006/relationships/image" Target="../media/image388.png"/><Relationship Id="rId8" Type="http://schemas.openxmlformats.org/officeDocument/2006/relationships/image" Target="../media/image340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90.png"/><Relationship Id="rId1" Type="http://schemas.openxmlformats.org/officeDocument/2006/relationships/image" Target="../media/image38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openxmlformats.org/officeDocument/2006/relationships/image" Target="../media/image26.png"/><Relationship Id="rId18" Type="http://schemas.openxmlformats.org/officeDocument/2006/relationships/image" Target="../media/image31.jpeg"/><Relationship Id="rId26" Type="http://schemas.openxmlformats.org/officeDocument/2006/relationships/image" Target="../media/image39.jpeg"/><Relationship Id="rId3" Type="http://schemas.openxmlformats.org/officeDocument/2006/relationships/image" Target="../media/image16.png"/><Relationship Id="rId21" Type="http://schemas.openxmlformats.org/officeDocument/2006/relationships/image" Target="../media/image34.png"/><Relationship Id="rId7" Type="http://schemas.openxmlformats.org/officeDocument/2006/relationships/image" Target="../media/image20.png"/><Relationship Id="rId12" Type="http://schemas.openxmlformats.org/officeDocument/2006/relationships/image" Target="../media/image25.png"/><Relationship Id="rId17" Type="http://schemas.openxmlformats.org/officeDocument/2006/relationships/image" Target="../media/image30.jpeg"/><Relationship Id="rId25" Type="http://schemas.openxmlformats.org/officeDocument/2006/relationships/image" Target="../media/image38.jpeg"/><Relationship Id="rId2" Type="http://schemas.openxmlformats.org/officeDocument/2006/relationships/image" Target="../media/image15.png"/><Relationship Id="rId16" Type="http://schemas.openxmlformats.org/officeDocument/2006/relationships/image" Target="../media/image29.jpeg"/><Relationship Id="rId20" Type="http://schemas.openxmlformats.org/officeDocument/2006/relationships/image" Target="../media/image33.png"/><Relationship Id="rId1" Type="http://schemas.openxmlformats.org/officeDocument/2006/relationships/image" Target="../media/image14.jpeg"/><Relationship Id="rId6" Type="http://schemas.openxmlformats.org/officeDocument/2006/relationships/image" Target="../media/image19.png"/><Relationship Id="rId11" Type="http://schemas.openxmlformats.org/officeDocument/2006/relationships/image" Target="../media/image24.png"/><Relationship Id="rId24" Type="http://schemas.openxmlformats.org/officeDocument/2006/relationships/image" Target="../media/image37.jpeg"/><Relationship Id="rId5" Type="http://schemas.openxmlformats.org/officeDocument/2006/relationships/image" Target="../media/image18.png"/><Relationship Id="rId15" Type="http://schemas.openxmlformats.org/officeDocument/2006/relationships/image" Target="../media/image28.jpeg"/><Relationship Id="rId23" Type="http://schemas.openxmlformats.org/officeDocument/2006/relationships/image" Target="../media/image36.png"/><Relationship Id="rId10" Type="http://schemas.openxmlformats.org/officeDocument/2006/relationships/image" Target="../media/image23.png"/><Relationship Id="rId19" Type="http://schemas.openxmlformats.org/officeDocument/2006/relationships/image" Target="../media/image32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Relationship Id="rId14" Type="http://schemas.openxmlformats.org/officeDocument/2006/relationships/image" Target="../media/image27.jpeg"/><Relationship Id="rId22" Type="http://schemas.openxmlformats.org/officeDocument/2006/relationships/image" Target="../media/image35.png"/><Relationship Id="rId27" Type="http://schemas.openxmlformats.org/officeDocument/2006/relationships/image" Target="../media/image40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png"/><Relationship Id="rId13" Type="http://schemas.openxmlformats.org/officeDocument/2006/relationships/image" Target="../media/image53.jpeg"/><Relationship Id="rId3" Type="http://schemas.openxmlformats.org/officeDocument/2006/relationships/image" Target="../media/image43.png"/><Relationship Id="rId7" Type="http://schemas.openxmlformats.org/officeDocument/2006/relationships/image" Target="../media/image47.png"/><Relationship Id="rId12" Type="http://schemas.openxmlformats.org/officeDocument/2006/relationships/image" Target="../media/image52.jpe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6" Type="http://schemas.openxmlformats.org/officeDocument/2006/relationships/image" Target="../media/image46.png"/><Relationship Id="rId11" Type="http://schemas.openxmlformats.org/officeDocument/2006/relationships/image" Target="../media/image51.jpeg"/><Relationship Id="rId5" Type="http://schemas.openxmlformats.org/officeDocument/2006/relationships/image" Target="../media/image45.png"/><Relationship Id="rId10" Type="http://schemas.openxmlformats.org/officeDocument/2006/relationships/image" Target="../media/image50.jpeg"/><Relationship Id="rId4" Type="http://schemas.openxmlformats.org/officeDocument/2006/relationships/image" Target="../media/image44.png"/><Relationship Id="rId9" Type="http://schemas.openxmlformats.org/officeDocument/2006/relationships/image" Target="../media/image4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61.jpeg"/><Relationship Id="rId3" Type="http://schemas.openxmlformats.org/officeDocument/2006/relationships/image" Target="../media/image56.jpg"/><Relationship Id="rId7" Type="http://schemas.openxmlformats.org/officeDocument/2006/relationships/image" Target="../media/image60.jpeg"/><Relationship Id="rId2" Type="http://schemas.openxmlformats.org/officeDocument/2006/relationships/image" Target="../media/image55.jpg"/><Relationship Id="rId1" Type="http://schemas.openxmlformats.org/officeDocument/2006/relationships/image" Target="../media/image54.png"/><Relationship Id="rId6" Type="http://schemas.openxmlformats.org/officeDocument/2006/relationships/image" Target="../media/image59.jpg"/><Relationship Id="rId5" Type="http://schemas.openxmlformats.org/officeDocument/2006/relationships/image" Target="../media/image58.jpg"/><Relationship Id="rId4" Type="http://schemas.openxmlformats.org/officeDocument/2006/relationships/image" Target="../media/image57.jpg"/><Relationship Id="rId9" Type="http://schemas.openxmlformats.org/officeDocument/2006/relationships/image" Target="../media/image62.jp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0.png"/><Relationship Id="rId13" Type="http://schemas.openxmlformats.org/officeDocument/2006/relationships/image" Target="../media/image75.jpeg"/><Relationship Id="rId18" Type="http://schemas.openxmlformats.org/officeDocument/2006/relationships/image" Target="../media/image80.jpeg"/><Relationship Id="rId26" Type="http://schemas.openxmlformats.org/officeDocument/2006/relationships/image" Target="../media/image88.jpeg"/><Relationship Id="rId3" Type="http://schemas.openxmlformats.org/officeDocument/2006/relationships/image" Target="../media/image65.jpeg"/><Relationship Id="rId21" Type="http://schemas.openxmlformats.org/officeDocument/2006/relationships/image" Target="../media/image83.jpeg"/><Relationship Id="rId7" Type="http://schemas.openxmlformats.org/officeDocument/2006/relationships/image" Target="../media/image69.png"/><Relationship Id="rId12" Type="http://schemas.openxmlformats.org/officeDocument/2006/relationships/image" Target="../media/image74.png"/><Relationship Id="rId17" Type="http://schemas.openxmlformats.org/officeDocument/2006/relationships/image" Target="../media/image79.jpeg"/><Relationship Id="rId25" Type="http://schemas.openxmlformats.org/officeDocument/2006/relationships/image" Target="../media/image87.jpeg"/><Relationship Id="rId2" Type="http://schemas.openxmlformats.org/officeDocument/2006/relationships/image" Target="../media/image64.png"/><Relationship Id="rId16" Type="http://schemas.openxmlformats.org/officeDocument/2006/relationships/image" Target="../media/image78.jpeg"/><Relationship Id="rId20" Type="http://schemas.openxmlformats.org/officeDocument/2006/relationships/image" Target="../media/image82.jpeg"/><Relationship Id="rId29" Type="http://schemas.openxmlformats.org/officeDocument/2006/relationships/image" Target="../media/image91.jpeg"/><Relationship Id="rId1" Type="http://schemas.openxmlformats.org/officeDocument/2006/relationships/image" Target="../media/image63.png"/><Relationship Id="rId6" Type="http://schemas.openxmlformats.org/officeDocument/2006/relationships/image" Target="../media/image68.png"/><Relationship Id="rId11" Type="http://schemas.openxmlformats.org/officeDocument/2006/relationships/image" Target="../media/image73.png"/><Relationship Id="rId24" Type="http://schemas.openxmlformats.org/officeDocument/2006/relationships/image" Target="../media/image86.jpeg"/><Relationship Id="rId5" Type="http://schemas.openxmlformats.org/officeDocument/2006/relationships/image" Target="../media/image67.png"/><Relationship Id="rId15" Type="http://schemas.openxmlformats.org/officeDocument/2006/relationships/image" Target="../media/image77.png"/><Relationship Id="rId23" Type="http://schemas.openxmlformats.org/officeDocument/2006/relationships/image" Target="../media/image85.jpeg"/><Relationship Id="rId28" Type="http://schemas.openxmlformats.org/officeDocument/2006/relationships/image" Target="../media/image90.jpeg"/><Relationship Id="rId10" Type="http://schemas.openxmlformats.org/officeDocument/2006/relationships/image" Target="../media/image72.png"/><Relationship Id="rId19" Type="http://schemas.openxmlformats.org/officeDocument/2006/relationships/image" Target="../media/image81.jpeg"/><Relationship Id="rId31" Type="http://schemas.openxmlformats.org/officeDocument/2006/relationships/image" Target="../media/image93.jpeg"/><Relationship Id="rId4" Type="http://schemas.openxmlformats.org/officeDocument/2006/relationships/image" Target="../media/image66.jpeg"/><Relationship Id="rId9" Type="http://schemas.openxmlformats.org/officeDocument/2006/relationships/image" Target="../media/image71.png"/><Relationship Id="rId14" Type="http://schemas.openxmlformats.org/officeDocument/2006/relationships/image" Target="../media/image76.jpeg"/><Relationship Id="rId22" Type="http://schemas.openxmlformats.org/officeDocument/2006/relationships/image" Target="../media/image84.jpeg"/><Relationship Id="rId27" Type="http://schemas.openxmlformats.org/officeDocument/2006/relationships/image" Target="../media/image89.jpeg"/><Relationship Id="rId30" Type="http://schemas.openxmlformats.org/officeDocument/2006/relationships/image" Target="../media/image92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1.png"/><Relationship Id="rId13" Type="http://schemas.openxmlformats.org/officeDocument/2006/relationships/image" Target="../media/image106.png"/><Relationship Id="rId18" Type="http://schemas.openxmlformats.org/officeDocument/2006/relationships/image" Target="../media/image111.jpeg"/><Relationship Id="rId3" Type="http://schemas.openxmlformats.org/officeDocument/2006/relationships/image" Target="../media/image96.png"/><Relationship Id="rId21" Type="http://schemas.openxmlformats.org/officeDocument/2006/relationships/image" Target="../media/image114.jpeg"/><Relationship Id="rId7" Type="http://schemas.openxmlformats.org/officeDocument/2006/relationships/image" Target="../media/image100.png"/><Relationship Id="rId12" Type="http://schemas.openxmlformats.org/officeDocument/2006/relationships/image" Target="../media/image105.png"/><Relationship Id="rId17" Type="http://schemas.openxmlformats.org/officeDocument/2006/relationships/image" Target="../media/image110.png"/><Relationship Id="rId2" Type="http://schemas.openxmlformats.org/officeDocument/2006/relationships/image" Target="../media/image95.png"/><Relationship Id="rId16" Type="http://schemas.openxmlformats.org/officeDocument/2006/relationships/image" Target="../media/image109.png"/><Relationship Id="rId20" Type="http://schemas.openxmlformats.org/officeDocument/2006/relationships/image" Target="../media/image113.jpeg"/><Relationship Id="rId1" Type="http://schemas.openxmlformats.org/officeDocument/2006/relationships/image" Target="../media/image94.jpeg"/><Relationship Id="rId6" Type="http://schemas.openxmlformats.org/officeDocument/2006/relationships/image" Target="../media/image99.png"/><Relationship Id="rId11" Type="http://schemas.openxmlformats.org/officeDocument/2006/relationships/image" Target="../media/image104.png"/><Relationship Id="rId5" Type="http://schemas.openxmlformats.org/officeDocument/2006/relationships/image" Target="../media/image98.png"/><Relationship Id="rId15" Type="http://schemas.openxmlformats.org/officeDocument/2006/relationships/image" Target="../media/image108.png"/><Relationship Id="rId10" Type="http://schemas.openxmlformats.org/officeDocument/2006/relationships/image" Target="../media/image103.png"/><Relationship Id="rId19" Type="http://schemas.openxmlformats.org/officeDocument/2006/relationships/image" Target="../media/image112.jpeg"/><Relationship Id="rId4" Type="http://schemas.openxmlformats.org/officeDocument/2006/relationships/image" Target="../media/image97.png"/><Relationship Id="rId9" Type="http://schemas.openxmlformats.org/officeDocument/2006/relationships/image" Target="../media/image102.png"/><Relationship Id="rId14" Type="http://schemas.openxmlformats.org/officeDocument/2006/relationships/image" Target="../media/image107.png"/><Relationship Id="rId22" Type="http://schemas.openxmlformats.org/officeDocument/2006/relationships/image" Target="../media/image115.jpe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3.jpeg"/><Relationship Id="rId13" Type="http://schemas.openxmlformats.org/officeDocument/2006/relationships/image" Target="../media/image128.jpeg"/><Relationship Id="rId18" Type="http://schemas.openxmlformats.org/officeDocument/2006/relationships/image" Target="../media/image133.jpeg"/><Relationship Id="rId26" Type="http://schemas.openxmlformats.org/officeDocument/2006/relationships/image" Target="../media/image141.png"/><Relationship Id="rId3" Type="http://schemas.openxmlformats.org/officeDocument/2006/relationships/image" Target="../media/image118.jpeg"/><Relationship Id="rId21" Type="http://schemas.openxmlformats.org/officeDocument/2006/relationships/image" Target="../media/image136.png"/><Relationship Id="rId7" Type="http://schemas.openxmlformats.org/officeDocument/2006/relationships/image" Target="../media/image122.jpeg"/><Relationship Id="rId12" Type="http://schemas.openxmlformats.org/officeDocument/2006/relationships/image" Target="../media/image127.jpeg"/><Relationship Id="rId17" Type="http://schemas.openxmlformats.org/officeDocument/2006/relationships/image" Target="../media/image132.jpeg"/><Relationship Id="rId25" Type="http://schemas.openxmlformats.org/officeDocument/2006/relationships/image" Target="../media/image140.png"/><Relationship Id="rId2" Type="http://schemas.openxmlformats.org/officeDocument/2006/relationships/image" Target="../media/image117.jpeg"/><Relationship Id="rId16" Type="http://schemas.openxmlformats.org/officeDocument/2006/relationships/image" Target="../media/image131.jpeg"/><Relationship Id="rId20" Type="http://schemas.openxmlformats.org/officeDocument/2006/relationships/image" Target="../media/image135.jpeg"/><Relationship Id="rId29" Type="http://schemas.openxmlformats.org/officeDocument/2006/relationships/image" Target="../media/image144.png"/><Relationship Id="rId1" Type="http://schemas.openxmlformats.org/officeDocument/2006/relationships/image" Target="../media/image116.jpeg"/><Relationship Id="rId6" Type="http://schemas.openxmlformats.org/officeDocument/2006/relationships/image" Target="../media/image121.jpeg"/><Relationship Id="rId11" Type="http://schemas.openxmlformats.org/officeDocument/2006/relationships/image" Target="../media/image126.jpeg"/><Relationship Id="rId24" Type="http://schemas.openxmlformats.org/officeDocument/2006/relationships/image" Target="../media/image139.png"/><Relationship Id="rId5" Type="http://schemas.openxmlformats.org/officeDocument/2006/relationships/image" Target="../media/image120.jpeg"/><Relationship Id="rId15" Type="http://schemas.openxmlformats.org/officeDocument/2006/relationships/image" Target="../media/image130.jpeg"/><Relationship Id="rId23" Type="http://schemas.openxmlformats.org/officeDocument/2006/relationships/image" Target="../media/image138.png"/><Relationship Id="rId28" Type="http://schemas.openxmlformats.org/officeDocument/2006/relationships/image" Target="../media/image143.png"/><Relationship Id="rId10" Type="http://schemas.openxmlformats.org/officeDocument/2006/relationships/image" Target="../media/image125.png"/><Relationship Id="rId19" Type="http://schemas.openxmlformats.org/officeDocument/2006/relationships/image" Target="../media/image134.jpeg"/><Relationship Id="rId4" Type="http://schemas.openxmlformats.org/officeDocument/2006/relationships/image" Target="../media/image119.jpeg"/><Relationship Id="rId9" Type="http://schemas.openxmlformats.org/officeDocument/2006/relationships/image" Target="../media/image124.png"/><Relationship Id="rId14" Type="http://schemas.openxmlformats.org/officeDocument/2006/relationships/image" Target="../media/image129.jpeg"/><Relationship Id="rId22" Type="http://schemas.openxmlformats.org/officeDocument/2006/relationships/image" Target="../media/image137.jpeg"/><Relationship Id="rId27" Type="http://schemas.openxmlformats.org/officeDocument/2006/relationships/image" Target="../media/image142.png"/><Relationship Id="rId30" Type="http://schemas.openxmlformats.org/officeDocument/2006/relationships/image" Target="../media/image145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3.png"/><Relationship Id="rId3" Type="http://schemas.openxmlformats.org/officeDocument/2006/relationships/image" Target="../media/image148.png"/><Relationship Id="rId7" Type="http://schemas.openxmlformats.org/officeDocument/2006/relationships/image" Target="../media/image152.png"/><Relationship Id="rId12" Type="http://schemas.openxmlformats.org/officeDocument/2006/relationships/image" Target="../media/image157.jpeg"/><Relationship Id="rId2" Type="http://schemas.openxmlformats.org/officeDocument/2006/relationships/image" Target="../media/image147.png"/><Relationship Id="rId1" Type="http://schemas.openxmlformats.org/officeDocument/2006/relationships/image" Target="../media/image146.png"/><Relationship Id="rId6" Type="http://schemas.openxmlformats.org/officeDocument/2006/relationships/image" Target="../media/image151.png"/><Relationship Id="rId11" Type="http://schemas.openxmlformats.org/officeDocument/2006/relationships/image" Target="../media/image156.png"/><Relationship Id="rId5" Type="http://schemas.openxmlformats.org/officeDocument/2006/relationships/image" Target="../media/image150.png"/><Relationship Id="rId10" Type="http://schemas.openxmlformats.org/officeDocument/2006/relationships/image" Target="../media/image155.png"/><Relationship Id="rId4" Type="http://schemas.openxmlformats.org/officeDocument/2006/relationships/image" Target="../media/image149.png"/><Relationship Id="rId9" Type="http://schemas.openxmlformats.org/officeDocument/2006/relationships/image" Target="../media/image154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5.png"/><Relationship Id="rId13" Type="http://schemas.openxmlformats.org/officeDocument/2006/relationships/image" Target="../media/image170.jpeg"/><Relationship Id="rId18" Type="http://schemas.openxmlformats.org/officeDocument/2006/relationships/image" Target="../media/image175.jpeg"/><Relationship Id="rId3" Type="http://schemas.openxmlformats.org/officeDocument/2006/relationships/image" Target="../media/image160.png"/><Relationship Id="rId21" Type="http://schemas.openxmlformats.org/officeDocument/2006/relationships/image" Target="../media/image178.jpeg"/><Relationship Id="rId7" Type="http://schemas.openxmlformats.org/officeDocument/2006/relationships/image" Target="../media/image164.png"/><Relationship Id="rId12" Type="http://schemas.openxmlformats.org/officeDocument/2006/relationships/image" Target="../media/image169.png"/><Relationship Id="rId17" Type="http://schemas.openxmlformats.org/officeDocument/2006/relationships/image" Target="../media/image174.jpeg"/><Relationship Id="rId2" Type="http://schemas.openxmlformats.org/officeDocument/2006/relationships/image" Target="../media/image159.png"/><Relationship Id="rId16" Type="http://schemas.openxmlformats.org/officeDocument/2006/relationships/image" Target="../media/image173.png"/><Relationship Id="rId20" Type="http://schemas.openxmlformats.org/officeDocument/2006/relationships/image" Target="../media/image177.jpeg"/><Relationship Id="rId1" Type="http://schemas.openxmlformats.org/officeDocument/2006/relationships/image" Target="../media/image158.jpeg"/><Relationship Id="rId6" Type="http://schemas.openxmlformats.org/officeDocument/2006/relationships/image" Target="../media/image163.png"/><Relationship Id="rId11" Type="http://schemas.openxmlformats.org/officeDocument/2006/relationships/image" Target="../media/image168.jpeg"/><Relationship Id="rId5" Type="http://schemas.openxmlformats.org/officeDocument/2006/relationships/image" Target="../media/image162.png"/><Relationship Id="rId15" Type="http://schemas.openxmlformats.org/officeDocument/2006/relationships/image" Target="../media/image172.jpeg"/><Relationship Id="rId23" Type="http://schemas.openxmlformats.org/officeDocument/2006/relationships/image" Target="../media/image180.png"/><Relationship Id="rId10" Type="http://schemas.openxmlformats.org/officeDocument/2006/relationships/image" Target="../media/image167.png"/><Relationship Id="rId19" Type="http://schemas.openxmlformats.org/officeDocument/2006/relationships/image" Target="../media/image176.jpeg"/><Relationship Id="rId4" Type="http://schemas.openxmlformats.org/officeDocument/2006/relationships/image" Target="../media/image161.png"/><Relationship Id="rId9" Type="http://schemas.openxmlformats.org/officeDocument/2006/relationships/image" Target="../media/image166.jpeg"/><Relationship Id="rId14" Type="http://schemas.openxmlformats.org/officeDocument/2006/relationships/image" Target="../media/image171.png"/><Relationship Id="rId22" Type="http://schemas.openxmlformats.org/officeDocument/2006/relationships/image" Target="../media/image17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123825</xdr:colOff>
      <xdr:row>6</xdr:row>
      <xdr:rowOff>171449</xdr:rowOff>
    </xdr:from>
    <xdr:ext cx="1076325" cy="866775"/>
    <xdr:pic>
      <xdr:nvPicPr>
        <xdr:cNvPr id="2" name="image17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6350" y="1609724"/>
          <a:ext cx="107632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7</xdr:row>
      <xdr:rowOff>104775</xdr:rowOff>
    </xdr:from>
    <xdr:ext cx="1038225" cy="914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4925" y="2686050"/>
          <a:ext cx="1038225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171450</xdr:colOff>
      <xdr:row>8</xdr:row>
      <xdr:rowOff>104775</xdr:rowOff>
    </xdr:from>
    <xdr:ext cx="1057275" cy="1019175"/>
    <xdr:pic>
      <xdr:nvPicPr>
        <xdr:cNvPr id="4" name="image7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3975" y="3876675"/>
          <a:ext cx="10572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200150" cy="1200150"/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200150" cy="1200150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28725" cy="695325"/>
    <xdr:pic>
      <xdr:nvPicPr>
        <xdr:cNvPr id="7" name="image15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47750" cy="1123950"/>
    <xdr:pic>
      <xdr:nvPicPr>
        <xdr:cNvPr id="8" name="image8.jp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28725" cy="1085850"/>
    <xdr:pic>
      <xdr:nvPicPr>
        <xdr:cNvPr id="9" name="image6.jp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676275" cy="1123950"/>
    <xdr:pic>
      <xdr:nvPicPr>
        <xdr:cNvPr id="10" name="image4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561975" cy="1123950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28725" cy="1209675"/>
    <xdr:pic>
      <xdr:nvPicPr>
        <xdr:cNvPr id="12" name="image12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28725" cy="1209675"/>
    <xdr:pic>
      <xdr:nvPicPr>
        <xdr:cNvPr id="13" name="image23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228725" cy="1228725"/>
    <xdr:pic>
      <xdr:nvPicPr>
        <xdr:cNvPr id="14" name="image21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</xdr:colOff>
      <xdr:row>10</xdr:row>
      <xdr:rowOff>28575</xdr:rowOff>
    </xdr:from>
    <xdr:ext cx="1143000" cy="1143000"/>
    <xdr:pic>
      <xdr:nvPicPr>
        <xdr:cNvPr id="2" name="image166.jp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10</xdr:row>
      <xdr:rowOff>38100</xdr:rowOff>
    </xdr:from>
    <xdr:ext cx="1143000" cy="1143000"/>
    <xdr:pic>
      <xdr:nvPicPr>
        <xdr:cNvPr id="3" name="image166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104775</xdr:colOff>
      <xdr:row>10</xdr:row>
      <xdr:rowOff>76200</xdr:rowOff>
    </xdr:from>
    <xdr:ext cx="1438275" cy="1495425"/>
    <xdr:pic>
      <xdr:nvPicPr>
        <xdr:cNvPr id="4" name="image177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1104900</xdr:colOff>
      <xdr:row>33</xdr:row>
      <xdr:rowOff>76200</xdr:rowOff>
    </xdr:from>
    <xdr:ext cx="1447800" cy="1524000"/>
    <xdr:pic>
      <xdr:nvPicPr>
        <xdr:cNvPr id="5" name="image170.png" title="Image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133350</xdr:colOff>
      <xdr:row>7</xdr:row>
      <xdr:rowOff>142875</xdr:rowOff>
    </xdr:from>
    <xdr:ext cx="1419225" cy="1409700"/>
    <xdr:pic>
      <xdr:nvPicPr>
        <xdr:cNvPr id="6" name="image188.pn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" y="4819650"/>
          <a:ext cx="1419225" cy="1409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552575" cy="1619250"/>
    <xdr:pic>
      <xdr:nvPicPr>
        <xdr:cNvPr id="7" name="image175.pn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552575" cy="1552575"/>
    <xdr:pic>
      <xdr:nvPicPr>
        <xdr:cNvPr id="8" name="image180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552575" cy="1552575"/>
    <xdr:pic>
      <xdr:nvPicPr>
        <xdr:cNvPr id="9" name="image191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552575" cy="1552575"/>
    <xdr:pic>
      <xdr:nvPicPr>
        <xdr:cNvPr id="10" name="image179.pn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552575" cy="1628775"/>
    <xdr:pic>
      <xdr:nvPicPr>
        <xdr:cNvPr id="11" name="image205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552575" cy="1428750"/>
    <xdr:pic>
      <xdr:nvPicPr>
        <xdr:cNvPr id="12" name="image207.jp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552575" cy="1552575"/>
    <xdr:pic>
      <xdr:nvPicPr>
        <xdr:cNvPr id="13" name="image192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552575" cy="1552575"/>
    <xdr:pic>
      <xdr:nvPicPr>
        <xdr:cNvPr id="14" name="image183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552575" cy="1552575"/>
    <xdr:pic>
      <xdr:nvPicPr>
        <xdr:cNvPr id="15" name="image197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552575" cy="1628775"/>
    <xdr:pic>
      <xdr:nvPicPr>
        <xdr:cNvPr id="16" name="image193.pn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552575" cy="1381125"/>
    <xdr:pic>
      <xdr:nvPicPr>
        <xdr:cNvPr id="17" name="image186.jp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552575" cy="1628775"/>
    <xdr:pic>
      <xdr:nvPicPr>
        <xdr:cNvPr id="18" name="image184.pn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552575" cy="1552575"/>
    <xdr:pic>
      <xdr:nvPicPr>
        <xdr:cNvPr id="19" name="image189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552575" cy="1638300"/>
    <xdr:pic>
      <xdr:nvPicPr>
        <xdr:cNvPr id="20" name="image194.pn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552575" cy="1552575"/>
    <xdr:pic>
      <xdr:nvPicPr>
        <xdr:cNvPr id="21" name="image195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552575" cy="1552575"/>
    <xdr:pic>
      <xdr:nvPicPr>
        <xdr:cNvPr id="22" name="image203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552575" cy="1323975"/>
    <xdr:pic>
      <xdr:nvPicPr>
        <xdr:cNvPr id="23" name="image187.pn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552575" cy="1600200"/>
    <xdr:pic>
      <xdr:nvPicPr>
        <xdr:cNvPr id="24" name="image199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552575" cy="1619250"/>
    <xdr:pic>
      <xdr:nvPicPr>
        <xdr:cNvPr id="25" name="image196.pn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552575" cy="1619250"/>
    <xdr:pic>
      <xdr:nvPicPr>
        <xdr:cNvPr id="26" name="image220.pn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552575" cy="1466850"/>
    <xdr:pic>
      <xdr:nvPicPr>
        <xdr:cNvPr id="27" name="image209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524000" cy="1647825"/>
    <xdr:pic>
      <xdr:nvPicPr>
        <xdr:cNvPr id="28" name="image219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552575" cy="1628775"/>
    <xdr:pic>
      <xdr:nvPicPr>
        <xdr:cNvPr id="29" name="image198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552575" cy="1552575"/>
    <xdr:pic>
      <xdr:nvPicPr>
        <xdr:cNvPr id="30" name="image200.png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552575" cy="1552575"/>
    <xdr:pic>
      <xdr:nvPicPr>
        <xdr:cNvPr id="31" name="image202.png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552575" cy="1552575"/>
    <xdr:pic>
      <xdr:nvPicPr>
        <xdr:cNvPr id="32" name="image204.png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552575" cy="1552575"/>
    <xdr:pic>
      <xdr:nvPicPr>
        <xdr:cNvPr id="33" name="image215.png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1552575" cy="1628775"/>
    <xdr:pic>
      <xdr:nvPicPr>
        <xdr:cNvPr id="34" name="image214.png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25589</xdr:colOff>
      <xdr:row>6</xdr:row>
      <xdr:rowOff>0</xdr:rowOff>
    </xdr:from>
    <xdr:to>
      <xdr:col>3</xdr:col>
      <xdr:colOff>1557</xdr:colOff>
      <xdr:row>6</xdr:row>
      <xdr:rowOff>1591235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5647F6AC-3914-9D1E-10CA-4C0088FFE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5824" y="2991971"/>
          <a:ext cx="1600821" cy="159123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304800</xdr:colOff>
      <xdr:row>5</xdr:row>
      <xdr:rowOff>304800</xdr:rowOff>
    </xdr:to>
    <xdr:sp macro="" textlink="">
      <xdr:nvSpPr>
        <xdr:cNvPr id="10241" name="AutoShape 1">
          <a:extLst>
            <a:ext uri="{FF2B5EF4-FFF2-40B4-BE49-F238E27FC236}">
              <a16:creationId xmlns:a16="http://schemas.microsoft.com/office/drawing/2014/main" id="{A14241FE-3E1D-015B-2C5A-6EC085A31A1A}"/>
            </a:ext>
          </a:extLst>
        </xdr:cNvPr>
        <xdr:cNvSpPr>
          <a:spLocks noChangeAspect="1" noChangeArrowheads="1"/>
        </xdr:cNvSpPr>
      </xdr:nvSpPr>
      <xdr:spPr bwMode="auto">
        <a:xfrm>
          <a:off x="18122900" y="135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560295</xdr:colOff>
      <xdr:row>1</xdr:row>
      <xdr:rowOff>171263</xdr:rowOff>
    </xdr:from>
    <xdr:to>
      <xdr:col>3</xdr:col>
      <xdr:colOff>497953</xdr:colOff>
      <xdr:row>6</xdr:row>
      <xdr:rowOff>983129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BE02EFA8-DBD5-1042-0BB6-BF0E2AB3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207" y="350557"/>
          <a:ext cx="2559834" cy="3621368"/>
        </a:xfrm>
        <a:prstGeom prst="rect">
          <a:avLst/>
        </a:prstGeom>
      </xdr:spPr>
    </xdr:pic>
    <xdr:clientData/>
  </xdr:twoCellAnchor>
  <xdr:twoCellAnchor editAs="oneCell">
    <xdr:from>
      <xdr:col>2</xdr:col>
      <xdr:colOff>56030</xdr:colOff>
      <xdr:row>24</xdr:row>
      <xdr:rowOff>57709</xdr:rowOff>
    </xdr:from>
    <xdr:to>
      <xdr:col>2</xdr:col>
      <xdr:colOff>1569975</xdr:colOff>
      <xdr:row>24</xdr:row>
      <xdr:rowOff>1602440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5D4EFBF-23A3-A7BF-48E1-D75B37EB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265" y="32700444"/>
          <a:ext cx="1513945" cy="154473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66675</xdr:colOff>
      <xdr:row>43</xdr:row>
      <xdr:rowOff>9525</xdr:rowOff>
    </xdr:from>
    <xdr:ext cx="1104900" cy="1104900"/>
    <xdr:pic>
      <xdr:nvPicPr>
        <xdr:cNvPr id="2" name="image208.png" title="Ima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10</xdr:row>
      <xdr:rowOff>47625</xdr:rowOff>
    </xdr:from>
    <xdr:ext cx="1133475" cy="1190625"/>
    <xdr:pic>
      <xdr:nvPicPr>
        <xdr:cNvPr id="3" name="image206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11</xdr:row>
      <xdr:rowOff>57150</xdr:rowOff>
    </xdr:from>
    <xdr:ext cx="1123950" cy="1133475"/>
    <xdr:pic>
      <xdr:nvPicPr>
        <xdr:cNvPr id="4" name="image211.pn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19</xdr:row>
      <xdr:rowOff>38100</xdr:rowOff>
    </xdr:from>
    <xdr:ext cx="1133475" cy="1162050"/>
    <xdr:pic>
      <xdr:nvPicPr>
        <xdr:cNvPr id="5" name="image224.pn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20</xdr:row>
      <xdr:rowOff>76200</xdr:rowOff>
    </xdr:from>
    <xdr:ext cx="1104900" cy="1133475"/>
    <xdr:pic>
      <xdr:nvPicPr>
        <xdr:cNvPr id="6" name="image201.pn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55</xdr:row>
      <xdr:rowOff>38100</xdr:rowOff>
    </xdr:from>
    <xdr:ext cx="1143000" cy="1133475"/>
    <xdr:pic>
      <xdr:nvPicPr>
        <xdr:cNvPr id="7" name="image210.png" title="Image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7</xdr:row>
      <xdr:rowOff>152400</xdr:rowOff>
    </xdr:from>
    <xdr:ext cx="1133475" cy="1009650"/>
    <xdr:pic>
      <xdr:nvPicPr>
        <xdr:cNvPr id="8" name="image213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" y="1924050"/>
          <a:ext cx="1133475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95250</xdr:colOff>
      <xdr:row>8</xdr:row>
      <xdr:rowOff>95250</xdr:rowOff>
    </xdr:from>
    <xdr:ext cx="1133475" cy="1095375"/>
    <xdr:pic>
      <xdr:nvPicPr>
        <xdr:cNvPr id="9" name="image245.pn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62075" y="3105150"/>
          <a:ext cx="113347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161925</xdr:colOff>
      <xdr:row>9</xdr:row>
      <xdr:rowOff>123825</xdr:rowOff>
    </xdr:from>
    <xdr:ext cx="1152525" cy="1057275"/>
    <xdr:pic>
      <xdr:nvPicPr>
        <xdr:cNvPr id="10" name="image229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28750" y="4400550"/>
          <a:ext cx="1152525" cy="10572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66825" cy="1266825"/>
    <xdr:pic>
      <xdr:nvPicPr>
        <xdr:cNvPr id="12" name="image221.png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09675" cy="1266825"/>
    <xdr:pic>
      <xdr:nvPicPr>
        <xdr:cNvPr id="13" name="image227.pn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266825" cy="1266825"/>
    <xdr:pic>
      <xdr:nvPicPr>
        <xdr:cNvPr id="14" name="image216.png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66825" cy="1162050"/>
    <xdr:pic>
      <xdr:nvPicPr>
        <xdr:cNvPr id="15" name="image218.png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190625" cy="1266825"/>
    <xdr:pic>
      <xdr:nvPicPr>
        <xdr:cNvPr id="17" name="image222.png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25</xdr:row>
      <xdr:rowOff>171450</xdr:rowOff>
    </xdr:from>
    <xdr:ext cx="1190625" cy="1095375"/>
    <xdr:pic>
      <xdr:nvPicPr>
        <xdr:cNvPr id="18" name="image241.png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85875" y="20659725"/>
          <a:ext cx="119062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66825" cy="1266825"/>
    <xdr:pic>
      <xdr:nvPicPr>
        <xdr:cNvPr id="19" name="image228.png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20" name="image226.png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66825" cy="1266825"/>
    <xdr:pic>
      <xdr:nvPicPr>
        <xdr:cNvPr id="21" name="image223.png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209675" cy="1266825"/>
    <xdr:pic>
      <xdr:nvPicPr>
        <xdr:cNvPr id="22" name="image250.png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266825" cy="1266825"/>
    <xdr:pic>
      <xdr:nvPicPr>
        <xdr:cNvPr id="23" name="image236.png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47775" cy="1266825"/>
    <xdr:pic>
      <xdr:nvPicPr>
        <xdr:cNvPr id="24" name="image232.png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266825" cy="1266825"/>
    <xdr:pic>
      <xdr:nvPicPr>
        <xdr:cNvPr id="25" name="image233.png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266825" cy="1266825"/>
    <xdr:pic>
      <xdr:nvPicPr>
        <xdr:cNvPr id="26" name="image235.png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266825" cy="1266825"/>
    <xdr:pic>
      <xdr:nvPicPr>
        <xdr:cNvPr id="27" name="image242.png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266825" cy="1266825"/>
    <xdr:pic>
      <xdr:nvPicPr>
        <xdr:cNvPr id="28" name="image268.png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266825" cy="1266825"/>
    <xdr:pic>
      <xdr:nvPicPr>
        <xdr:cNvPr id="29" name="image239.png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1238250" cy="1266825"/>
    <xdr:pic>
      <xdr:nvPicPr>
        <xdr:cNvPr id="30" name="image247.png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1209675" cy="1266825"/>
    <xdr:pic>
      <xdr:nvPicPr>
        <xdr:cNvPr id="31" name="image230.png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1266825" cy="1266825"/>
    <xdr:pic>
      <xdr:nvPicPr>
        <xdr:cNvPr id="32" name="image238.png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266825" cy="895350"/>
    <xdr:pic>
      <xdr:nvPicPr>
        <xdr:cNvPr id="33" name="image231.png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1266825" cy="1266825"/>
    <xdr:pic>
      <xdr:nvPicPr>
        <xdr:cNvPr id="34" name="image258.jpg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247775" cy="1266825"/>
    <xdr:pic>
      <xdr:nvPicPr>
        <xdr:cNvPr id="35" name="image243.png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266825" cy="1266825"/>
    <xdr:pic>
      <xdr:nvPicPr>
        <xdr:cNvPr id="36" name="image244.png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266825" cy="1266825"/>
    <xdr:pic>
      <xdr:nvPicPr>
        <xdr:cNvPr id="37" name="image252.png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266825" cy="1009650"/>
    <xdr:pic>
      <xdr:nvPicPr>
        <xdr:cNvPr id="38" name="image255.png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266825" cy="1266825"/>
    <xdr:pic>
      <xdr:nvPicPr>
        <xdr:cNvPr id="39" name="image248.png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266825" cy="1247775"/>
    <xdr:pic>
      <xdr:nvPicPr>
        <xdr:cNvPr id="40" name="image246.png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266825" cy="1266825"/>
    <xdr:pic>
      <xdr:nvPicPr>
        <xdr:cNvPr id="41" name="image237.png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266825" cy="1266825"/>
    <xdr:pic>
      <xdr:nvPicPr>
        <xdr:cNvPr id="42" name="image234.png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266825" cy="1266825"/>
    <xdr:pic>
      <xdr:nvPicPr>
        <xdr:cNvPr id="43" name="image240.png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247775" cy="1266825"/>
    <xdr:pic>
      <xdr:nvPicPr>
        <xdr:cNvPr id="44" name="image249.png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54</xdr:row>
      <xdr:rowOff>0</xdr:rowOff>
    </xdr:from>
    <xdr:ext cx="1266825" cy="1247775"/>
    <xdr:pic>
      <xdr:nvPicPr>
        <xdr:cNvPr id="45" name="image277.png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0</xdr:rowOff>
    </xdr:from>
    <xdr:ext cx="1266825" cy="1266825"/>
    <xdr:pic>
      <xdr:nvPicPr>
        <xdr:cNvPr id="46" name="image253.png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209675" cy="1266825"/>
    <xdr:pic>
      <xdr:nvPicPr>
        <xdr:cNvPr id="47" name="image251.png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181100" cy="1266825"/>
    <xdr:pic>
      <xdr:nvPicPr>
        <xdr:cNvPr id="48" name="image276.jpg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209675" cy="1266825"/>
    <xdr:pic>
      <xdr:nvPicPr>
        <xdr:cNvPr id="49" name="image272.jpg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266825" cy="1266825"/>
    <xdr:pic>
      <xdr:nvPicPr>
        <xdr:cNvPr id="50" name="image256.png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1266825" cy="1266825"/>
    <xdr:pic>
      <xdr:nvPicPr>
        <xdr:cNvPr id="51" name="image274.png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62</xdr:row>
      <xdr:rowOff>0</xdr:rowOff>
    </xdr:from>
    <xdr:ext cx="1266825" cy="1266825"/>
    <xdr:pic>
      <xdr:nvPicPr>
        <xdr:cNvPr id="52" name="image257.png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57150</xdr:colOff>
      <xdr:row>17</xdr:row>
      <xdr:rowOff>28576</xdr:rowOff>
    </xdr:from>
    <xdr:to>
      <xdr:col>2</xdr:col>
      <xdr:colOff>1247775</xdr:colOff>
      <xdr:row>17</xdr:row>
      <xdr:rowOff>1200893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D5DCE292-0E22-80DF-73F5-4B3BECA37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3975" y="14439901"/>
          <a:ext cx="1190625" cy="1172317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12</xdr:row>
      <xdr:rowOff>19049</xdr:rowOff>
    </xdr:from>
    <xdr:to>
      <xdr:col>2</xdr:col>
      <xdr:colOff>1295400</xdr:colOff>
      <xdr:row>12</xdr:row>
      <xdr:rowOff>1257512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7A61BBAA-1061-C71B-6348-889C3D22A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4925" y="8096249"/>
          <a:ext cx="1257300" cy="12384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18</xdr:row>
      <xdr:rowOff>47625</xdr:rowOff>
    </xdr:from>
    <xdr:ext cx="1143000" cy="1200150"/>
    <xdr:pic>
      <xdr:nvPicPr>
        <xdr:cNvPr id="2" name="image254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19</xdr:row>
      <xdr:rowOff>57150</xdr:rowOff>
    </xdr:from>
    <xdr:ext cx="1123950" cy="1181100"/>
    <xdr:pic>
      <xdr:nvPicPr>
        <xdr:cNvPr id="3" name="image265.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23</xdr:row>
      <xdr:rowOff>57150</xdr:rowOff>
    </xdr:from>
    <xdr:ext cx="1133475" cy="1133475"/>
    <xdr:pic>
      <xdr:nvPicPr>
        <xdr:cNvPr id="4" name="image259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25</xdr:row>
      <xdr:rowOff>28575</xdr:rowOff>
    </xdr:from>
    <xdr:ext cx="1143000" cy="1152525"/>
    <xdr:pic>
      <xdr:nvPicPr>
        <xdr:cNvPr id="5" name="image263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26</xdr:row>
      <xdr:rowOff>47625</xdr:rowOff>
    </xdr:from>
    <xdr:ext cx="1123950" cy="1152525"/>
    <xdr:pic>
      <xdr:nvPicPr>
        <xdr:cNvPr id="6" name="image264.pn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7</xdr:row>
      <xdr:rowOff>285750</xdr:rowOff>
    </xdr:from>
    <xdr:ext cx="1190625" cy="1400175"/>
    <xdr:pic>
      <xdr:nvPicPr>
        <xdr:cNvPr id="7" name="image261.png" title="Image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19050</xdr:colOff>
      <xdr:row>11</xdr:row>
      <xdr:rowOff>209550</xdr:rowOff>
    </xdr:from>
    <xdr:ext cx="1228725" cy="1123950"/>
    <xdr:pic>
      <xdr:nvPicPr>
        <xdr:cNvPr id="8" name="image260.png" title="Image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57300" cy="1266825"/>
    <xdr:pic>
      <xdr:nvPicPr>
        <xdr:cNvPr id="9" name="image266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57300" cy="1266825"/>
    <xdr:pic>
      <xdr:nvPicPr>
        <xdr:cNvPr id="10" name="image262.pn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266825" cy="1266825"/>
    <xdr:pic>
      <xdr:nvPicPr>
        <xdr:cNvPr id="11" name="image295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66825" cy="1266825"/>
    <xdr:pic>
      <xdr:nvPicPr>
        <xdr:cNvPr id="12" name="image267.pn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66825" cy="1266825"/>
    <xdr:pic>
      <xdr:nvPicPr>
        <xdr:cNvPr id="13" name="image273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66825" cy="1266825"/>
    <xdr:pic>
      <xdr:nvPicPr>
        <xdr:cNvPr id="14" name="image271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15" name="image279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66825" cy="1266825"/>
    <xdr:pic>
      <xdr:nvPicPr>
        <xdr:cNvPr id="16" name="image269.pn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923925" cy="923925"/>
    <xdr:pic>
      <xdr:nvPicPr>
        <xdr:cNvPr id="17" name="image284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923925" cy="923925"/>
    <xdr:pic>
      <xdr:nvPicPr>
        <xdr:cNvPr id="18" name="image275.pn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923925" cy="923925"/>
    <xdr:pic>
      <xdr:nvPicPr>
        <xdr:cNvPr id="19" name="image270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923925" cy="923925"/>
    <xdr:pic>
      <xdr:nvPicPr>
        <xdr:cNvPr id="20" name="image292.pn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923925" cy="923925"/>
    <xdr:pic>
      <xdr:nvPicPr>
        <xdr:cNvPr id="21" name="image286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923925" cy="923925"/>
    <xdr:pic>
      <xdr:nvPicPr>
        <xdr:cNvPr id="22" name="image282.png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923925" cy="923925"/>
    <xdr:pic>
      <xdr:nvPicPr>
        <xdr:cNvPr id="23" name="image285.pn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923925" cy="923925"/>
    <xdr:pic>
      <xdr:nvPicPr>
        <xdr:cNvPr id="24" name="image281.pn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942975" cy="933450"/>
    <xdr:pic>
      <xdr:nvPicPr>
        <xdr:cNvPr id="25" name="image278.png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942975" cy="923925"/>
    <xdr:pic>
      <xdr:nvPicPr>
        <xdr:cNvPr id="26" name="image280.png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923925" cy="923925"/>
    <xdr:pic>
      <xdr:nvPicPr>
        <xdr:cNvPr id="27" name="image283.png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914400" cy="923925"/>
    <xdr:pic>
      <xdr:nvPicPr>
        <xdr:cNvPr id="28" name="image294.pn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914400" cy="933450"/>
    <xdr:pic>
      <xdr:nvPicPr>
        <xdr:cNvPr id="29" name="image297.png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914400" cy="923925"/>
    <xdr:pic>
      <xdr:nvPicPr>
        <xdr:cNvPr id="30" name="image299.png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914400" cy="923925"/>
    <xdr:pic>
      <xdr:nvPicPr>
        <xdr:cNvPr id="31" name="image291.png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923925" cy="923925"/>
    <xdr:pic>
      <xdr:nvPicPr>
        <xdr:cNvPr id="32" name="image290.png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942975" cy="923925"/>
    <xdr:pic>
      <xdr:nvPicPr>
        <xdr:cNvPr id="33" name="image293.png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923925" cy="923925"/>
    <xdr:pic>
      <xdr:nvPicPr>
        <xdr:cNvPr id="34" name="image289.png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628650" cy="866775"/>
    <xdr:pic>
      <xdr:nvPicPr>
        <xdr:cNvPr id="35" name="image287.png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54</xdr:row>
      <xdr:rowOff>0</xdr:rowOff>
    </xdr:from>
    <xdr:ext cx="495300" cy="866775"/>
    <xdr:pic>
      <xdr:nvPicPr>
        <xdr:cNvPr id="36" name="image288.png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55</xdr:row>
      <xdr:rowOff>0</xdr:rowOff>
    </xdr:from>
    <xdr:ext cx="371475" cy="866775"/>
    <xdr:pic>
      <xdr:nvPicPr>
        <xdr:cNvPr id="37" name="image336.png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0</xdr:rowOff>
    </xdr:from>
    <xdr:ext cx="485775" cy="866775"/>
    <xdr:pic>
      <xdr:nvPicPr>
        <xdr:cNvPr id="38" name="image318.png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485775" cy="866775"/>
    <xdr:pic>
      <xdr:nvPicPr>
        <xdr:cNvPr id="39" name="image312.png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438150" cy="866775"/>
    <xdr:pic>
      <xdr:nvPicPr>
        <xdr:cNvPr id="40" name="image310.png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704850" cy="866775"/>
    <xdr:pic>
      <xdr:nvPicPr>
        <xdr:cNvPr id="41" name="image313.png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038225" cy="866775"/>
    <xdr:pic>
      <xdr:nvPicPr>
        <xdr:cNvPr id="42" name="image317.png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962025" cy="866775"/>
    <xdr:pic>
      <xdr:nvPicPr>
        <xdr:cNvPr id="43" name="image308.png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62</xdr:row>
      <xdr:rowOff>0</xdr:rowOff>
    </xdr:from>
    <xdr:ext cx="1057275" cy="866775"/>
    <xdr:pic>
      <xdr:nvPicPr>
        <xdr:cNvPr id="44" name="image314.png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63</xdr:row>
      <xdr:rowOff>0</xdr:rowOff>
    </xdr:from>
    <xdr:ext cx="1114425" cy="866775"/>
    <xdr:pic>
      <xdr:nvPicPr>
        <xdr:cNvPr id="45" name="image303.png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64</xdr:row>
      <xdr:rowOff>0</xdr:rowOff>
    </xdr:from>
    <xdr:ext cx="742950" cy="866775"/>
    <xdr:pic>
      <xdr:nvPicPr>
        <xdr:cNvPr id="46" name="image298.png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809625" cy="866775"/>
    <xdr:pic>
      <xdr:nvPicPr>
        <xdr:cNvPr id="47" name="image302.png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876300" cy="866775"/>
    <xdr:pic>
      <xdr:nvPicPr>
        <xdr:cNvPr id="48" name="image296.png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000125" cy="866775"/>
    <xdr:pic>
      <xdr:nvPicPr>
        <xdr:cNvPr id="49" name="image307.png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62</xdr:row>
      <xdr:rowOff>38100</xdr:rowOff>
    </xdr:from>
    <xdr:ext cx="1047750" cy="1038225"/>
    <xdr:pic>
      <xdr:nvPicPr>
        <xdr:cNvPr id="2" name="image300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63</xdr:row>
      <xdr:rowOff>57150</xdr:rowOff>
    </xdr:from>
    <xdr:ext cx="1038225" cy="1047750"/>
    <xdr:pic>
      <xdr:nvPicPr>
        <xdr:cNvPr id="3" name="image301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962025</xdr:colOff>
      <xdr:row>73</xdr:row>
      <xdr:rowOff>19050</xdr:rowOff>
    </xdr:from>
    <xdr:ext cx="1000125" cy="1047750"/>
    <xdr:pic>
      <xdr:nvPicPr>
        <xdr:cNvPr id="4" name="image305.png" title="Image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61</xdr:row>
      <xdr:rowOff>57150</xdr:rowOff>
    </xdr:from>
    <xdr:ext cx="1047750" cy="1076325"/>
    <xdr:pic>
      <xdr:nvPicPr>
        <xdr:cNvPr id="5" name="image309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70</xdr:row>
      <xdr:rowOff>47625</xdr:rowOff>
    </xdr:from>
    <xdr:ext cx="952500" cy="1047750"/>
    <xdr:pic>
      <xdr:nvPicPr>
        <xdr:cNvPr id="6" name="image304.pn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28775" y="58569225"/>
          <a:ext cx="952500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11</xdr:row>
      <xdr:rowOff>85725</xdr:rowOff>
    </xdr:from>
    <xdr:ext cx="800100" cy="800100"/>
    <xdr:pic>
      <xdr:nvPicPr>
        <xdr:cNvPr id="7" name="image325.pn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95375" cy="723900"/>
    <xdr:pic>
      <xdr:nvPicPr>
        <xdr:cNvPr id="8" name="image321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95375" cy="714375"/>
    <xdr:pic>
      <xdr:nvPicPr>
        <xdr:cNvPr id="9" name="image306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95375" cy="714375"/>
    <xdr:pic>
      <xdr:nvPicPr>
        <xdr:cNvPr id="10" name="image311.pn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95375" cy="714375"/>
    <xdr:pic>
      <xdr:nvPicPr>
        <xdr:cNvPr id="11" name="image316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95375" cy="714375"/>
    <xdr:pic>
      <xdr:nvPicPr>
        <xdr:cNvPr id="12" name="image320.pn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95375" cy="714375"/>
    <xdr:pic>
      <xdr:nvPicPr>
        <xdr:cNvPr id="13" name="image315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095375" cy="714375"/>
    <xdr:pic>
      <xdr:nvPicPr>
        <xdr:cNvPr id="14" name="image329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095375" cy="714375"/>
    <xdr:pic>
      <xdr:nvPicPr>
        <xdr:cNvPr id="15" name="image319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95375" cy="723900"/>
    <xdr:pic>
      <xdr:nvPicPr>
        <xdr:cNvPr id="16" name="image343.pn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095375" cy="714375"/>
    <xdr:pic>
      <xdr:nvPicPr>
        <xdr:cNvPr id="17" name="image324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095375" cy="714375"/>
    <xdr:pic>
      <xdr:nvPicPr>
        <xdr:cNvPr id="18" name="image323.pn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095375" cy="714375"/>
    <xdr:pic>
      <xdr:nvPicPr>
        <xdr:cNvPr id="19" name="image328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095375" cy="714375"/>
    <xdr:pic>
      <xdr:nvPicPr>
        <xdr:cNvPr id="20" name="image322.pn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095375" cy="714375"/>
    <xdr:pic>
      <xdr:nvPicPr>
        <xdr:cNvPr id="21" name="image326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095375" cy="723900"/>
    <xdr:pic>
      <xdr:nvPicPr>
        <xdr:cNvPr id="22" name="image348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095375" cy="723900"/>
    <xdr:pic>
      <xdr:nvPicPr>
        <xdr:cNvPr id="23" name="image338.pn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095375" cy="723900"/>
    <xdr:pic>
      <xdr:nvPicPr>
        <xdr:cNvPr id="24" name="image345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914400" cy="876300"/>
    <xdr:pic>
      <xdr:nvPicPr>
        <xdr:cNvPr id="25" name="image339.pn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895350" cy="876300"/>
    <xdr:pic>
      <xdr:nvPicPr>
        <xdr:cNvPr id="26" name="image333.pn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914400" cy="876300"/>
    <xdr:pic>
      <xdr:nvPicPr>
        <xdr:cNvPr id="27" name="image327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895350" cy="876300"/>
    <xdr:pic>
      <xdr:nvPicPr>
        <xdr:cNvPr id="28" name="image344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914400" cy="876300"/>
    <xdr:pic>
      <xdr:nvPicPr>
        <xdr:cNvPr id="29" name="image353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876300" cy="876300"/>
    <xdr:pic>
      <xdr:nvPicPr>
        <xdr:cNvPr id="30" name="image332.png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42</xdr:row>
      <xdr:rowOff>0</xdr:rowOff>
    </xdr:from>
    <xdr:ext cx="1095375" cy="1095375"/>
    <xdr:pic>
      <xdr:nvPicPr>
        <xdr:cNvPr id="31" name="image347.png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095375" cy="1019175"/>
    <xdr:pic>
      <xdr:nvPicPr>
        <xdr:cNvPr id="32" name="image330.png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095375" cy="1095375"/>
    <xdr:pic>
      <xdr:nvPicPr>
        <xdr:cNvPr id="33" name="image335.png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095375" cy="1095375"/>
    <xdr:pic>
      <xdr:nvPicPr>
        <xdr:cNvPr id="34" name="image346.png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095375" cy="1095375"/>
    <xdr:pic>
      <xdr:nvPicPr>
        <xdr:cNvPr id="35" name="image349.png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095375" cy="1095375"/>
    <xdr:pic>
      <xdr:nvPicPr>
        <xdr:cNvPr id="36" name="image334.png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095375" cy="1066800"/>
    <xdr:pic>
      <xdr:nvPicPr>
        <xdr:cNvPr id="37" name="image331.png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095375" cy="1095375"/>
    <xdr:pic>
      <xdr:nvPicPr>
        <xdr:cNvPr id="38" name="image350.png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095375" cy="1038225"/>
    <xdr:pic>
      <xdr:nvPicPr>
        <xdr:cNvPr id="39" name="image337.png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095375" cy="1057275"/>
    <xdr:pic>
      <xdr:nvPicPr>
        <xdr:cNvPr id="40" name="image340.png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095375" cy="1095375"/>
    <xdr:pic>
      <xdr:nvPicPr>
        <xdr:cNvPr id="41" name="image342.png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095375" cy="1095375"/>
    <xdr:pic>
      <xdr:nvPicPr>
        <xdr:cNvPr id="42" name="image341.png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56</xdr:row>
      <xdr:rowOff>0</xdr:rowOff>
    </xdr:from>
    <xdr:ext cx="1095375" cy="1095375"/>
    <xdr:pic>
      <xdr:nvPicPr>
        <xdr:cNvPr id="43" name="image351.png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095375" cy="1057275"/>
    <xdr:pic>
      <xdr:nvPicPr>
        <xdr:cNvPr id="44" name="image362.png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095375" cy="1095375"/>
    <xdr:pic>
      <xdr:nvPicPr>
        <xdr:cNvPr id="45" name="image360.png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038225" cy="1143000"/>
    <xdr:pic>
      <xdr:nvPicPr>
        <xdr:cNvPr id="46" name="image355.png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076325" cy="1143000"/>
    <xdr:pic>
      <xdr:nvPicPr>
        <xdr:cNvPr id="47" name="image354.png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64</xdr:row>
      <xdr:rowOff>0</xdr:rowOff>
    </xdr:from>
    <xdr:ext cx="1038225" cy="1143000"/>
    <xdr:pic>
      <xdr:nvPicPr>
        <xdr:cNvPr id="48" name="image352.png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1095375" cy="1095375"/>
    <xdr:pic>
      <xdr:nvPicPr>
        <xdr:cNvPr id="49" name="image359.png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066800" cy="1143000"/>
    <xdr:pic>
      <xdr:nvPicPr>
        <xdr:cNvPr id="50" name="image363.png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68</xdr:row>
      <xdr:rowOff>66675</xdr:rowOff>
    </xdr:from>
    <xdr:ext cx="1095375" cy="1095375"/>
    <xdr:pic>
      <xdr:nvPicPr>
        <xdr:cNvPr id="51" name="image357.png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00200" y="56302275"/>
          <a:ext cx="109537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69</xdr:row>
      <xdr:rowOff>0</xdr:rowOff>
    </xdr:from>
    <xdr:ext cx="1066800" cy="1143000"/>
    <xdr:pic>
      <xdr:nvPicPr>
        <xdr:cNvPr id="52" name="image358.png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71</xdr:row>
      <xdr:rowOff>0</xdr:rowOff>
    </xdr:from>
    <xdr:ext cx="1095375" cy="1114425"/>
    <xdr:pic>
      <xdr:nvPicPr>
        <xdr:cNvPr id="53" name="image356.png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72</xdr:row>
      <xdr:rowOff>0</xdr:rowOff>
    </xdr:from>
    <xdr:ext cx="1095375" cy="1095375"/>
    <xdr:pic>
      <xdr:nvPicPr>
        <xdr:cNvPr id="54" name="image361.png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57150</xdr:colOff>
      <xdr:row>63</xdr:row>
      <xdr:rowOff>38100</xdr:rowOff>
    </xdr:from>
    <xdr:ext cx="1047750" cy="1038225"/>
    <xdr:pic>
      <xdr:nvPicPr>
        <xdr:cNvPr id="2" name="image300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64</xdr:row>
      <xdr:rowOff>57150</xdr:rowOff>
    </xdr:from>
    <xdr:ext cx="1038225" cy="1047750"/>
    <xdr:pic>
      <xdr:nvPicPr>
        <xdr:cNvPr id="3" name="image301.pn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73</xdr:row>
      <xdr:rowOff>38100</xdr:rowOff>
    </xdr:from>
    <xdr:ext cx="1038225" cy="1047750"/>
    <xdr:pic>
      <xdr:nvPicPr>
        <xdr:cNvPr id="4" name="image305.pn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62</xdr:row>
      <xdr:rowOff>57150</xdr:rowOff>
    </xdr:from>
    <xdr:ext cx="1047750" cy="1076325"/>
    <xdr:pic>
      <xdr:nvPicPr>
        <xdr:cNvPr id="5" name="image309.pn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70</xdr:row>
      <xdr:rowOff>47625</xdr:rowOff>
    </xdr:from>
    <xdr:ext cx="1047750" cy="1047750"/>
    <xdr:pic>
      <xdr:nvPicPr>
        <xdr:cNvPr id="6" name="image304.pn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914400" cy="876300"/>
    <xdr:pic>
      <xdr:nvPicPr>
        <xdr:cNvPr id="7" name="image339.pn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895350" cy="876300"/>
    <xdr:pic>
      <xdr:nvPicPr>
        <xdr:cNvPr id="8" name="image333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914400" cy="876300"/>
    <xdr:pic>
      <xdr:nvPicPr>
        <xdr:cNvPr id="9" name="image327.png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895350" cy="876300"/>
    <xdr:pic>
      <xdr:nvPicPr>
        <xdr:cNvPr id="10" name="image344.png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914400" cy="876300"/>
    <xdr:pic>
      <xdr:nvPicPr>
        <xdr:cNvPr id="11" name="image353.png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876300" cy="876300"/>
    <xdr:pic>
      <xdr:nvPicPr>
        <xdr:cNvPr id="12" name="image332.png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43</xdr:row>
      <xdr:rowOff>0</xdr:rowOff>
    </xdr:from>
    <xdr:ext cx="1133475" cy="1133475"/>
    <xdr:pic>
      <xdr:nvPicPr>
        <xdr:cNvPr id="13" name="image347.pn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219200" cy="1143000"/>
    <xdr:pic>
      <xdr:nvPicPr>
        <xdr:cNvPr id="14" name="image330.png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45</xdr:row>
      <xdr:rowOff>0</xdr:rowOff>
    </xdr:from>
    <xdr:ext cx="1143000" cy="1143000"/>
    <xdr:pic>
      <xdr:nvPicPr>
        <xdr:cNvPr id="15" name="image335.png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46</xdr:row>
      <xdr:rowOff>0</xdr:rowOff>
    </xdr:from>
    <xdr:ext cx="1143000" cy="1143000"/>
    <xdr:pic>
      <xdr:nvPicPr>
        <xdr:cNvPr id="16" name="image346.png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47</xdr:row>
      <xdr:rowOff>0</xdr:rowOff>
    </xdr:from>
    <xdr:ext cx="1143000" cy="1143000"/>
    <xdr:pic>
      <xdr:nvPicPr>
        <xdr:cNvPr id="17" name="image349.pn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48</xdr:row>
      <xdr:rowOff>0</xdr:rowOff>
    </xdr:from>
    <xdr:ext cx="1143000" cy="1143000"/>
    <xdr:pic>
      <xdr:nvPicPr>
        <xdr:cNvPr id="18" name="image334.png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49</xdr:row>
      <xdr:rowOff>0</xdr:rowOff>
    </xdr:from>
    <xdr:ext cx="1162050" cy="1143000"/>
    <xdr:pic>
      <xdr:nvPicPr>
        <xdr:cNvPr id="19" name="image331.png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50</xdr:row>
      <xdr:rowOff>0</xdr:rowOff>
    </xdr:from>
    <xdr:ext cx="1133475" cy="1133475"/>
    <xdr:pic>
      <xdr:nvPicPr>
        <xdr:cNvPr id="20" name="image350.png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51</xdr:row>
      <xdr:rowOff>0</xdr:rowOff>
    </xdr:from>
    <xdr:ext cx="1200150" cy="1143000"/>
    <xdr:pic>
      <xdr:nvPicPr>
        <xdr:cNvPr id="21" name="image337.pn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52</xdr:row>
      <xdr:rowOff>0</xdr:rowOff>
    </xdr:from>
    <xdr:ext cx="1181100" cy="1143000"/>
    <xdr:pic>
      <xdr:nvPicPr>
        <xdr:cNvPr id="22" name="image340.png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53</xdr:row>
      <xdr:rowOff>0</xdr:rowOff>
    </xdr:from>
    <xdr:ext cx="1143000" cy="1143000"/>
    <xdr:pic>
      <xdr:nvPicPr>
        <xdr:cNvPr id="23" name="image342.pn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54</xdr:row>
      <xdr:rowOff>0</xdr:rowOff>
    </xdr:from>
    <xdr:ext cx="1143000" cy="1143000"/>
    <xdr:pic>
      <xdr:nvPicPr>
        <xdr:cNvPr id="24" name="image341.png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57</xdr:row>
      <xdr:rowOff>0</xdr:rowOff>
    </xdr:from>
    <xdr:ext cx="1143000" cy="1143000"/>
    <xdr:pic>
      <xdr:nvPicPr>
        <xdr:cNvPr id="25" name="image351.png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58</xdr:row>
      <xdr:rowOff>0</xdr:rowOff>
    </xdr:from>
    <xdr:ext cx="1181100" cy="1143000"/>
    <xdr:pic>
      <xdr:nvPicPr>
        <xdr:cNvPr id="26" name="image362.png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59</xdr:row>
      <xdr:rowOff>0</xdr:rowOff>
    </xdr:from>
    <xdr:ext cx="1143000" cy="1143000"/>
    <xdr:pic>
      <xdr:nvPicPr>
        <xdr:cNvPr id="27" name="image360.png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60</xdr:row>
      <xdr:rowOff>0</xdr:rowOff>
    </xdr:from>
    <xdr:ext cx="1038225" cy="1143000"/>
    <xdr:pic>
      <xdr:nvPicPr>
        <xdr:cNvPr id="28" name="image355.png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61</xdr:row>
      <xdr:rowOff>0</xdr:rowOff>
    </xdr:from>
    <xdr:ext cx="1076325" cy="1143000"/>
    <xdr:pic>
      <xdr:nvPicPr>
        <xdr:cNvPr id="29" name="image354.png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65</xdr:row>
      <xdr:rowOff>0</xdr:rowOff>
    </xdr:from>
    <xdr:ext cx="1038225" cy="1143000"/>
    <xdr:pic>
      <xdr:nvPicPr>
        <xdr:cNvPr id="30" name="image352.png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66</xdr:row>
      <xdr:rowOff>0</xdr:rowOff>
    </xdr:from>
    <xdr:ext cx="1143000" cy="1143000"/>
    <xdr:pic>
      <xdr:nvPicPr>
        <xdr:cNvPr id="31" name="image359.png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67</xdr:row>
      <xdr:rowOff>0</xdr:rowOff>
    </xdr:from>
    <xdr:ext cx="1066800" cy="1143000"/>
    <xdr:pic>
      <xdr:nvPicPr>
        <xdr:cNvPr id="32" name="image363.png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68</xdr:row>
      <xdr:rowOff>0</xdr:rowOff>
    </xdr:from>
    <xdr:ext cx="1133475" cy="1133475"/>
    <xdr:pic>
      <xdr:nvPicPr>
        <xdr:cNvPr id="33" name="image357.png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69</xdr:row>
      <xdr:rowOff>0</xdr:rowOff>
    </xdr:from>
    <xdr:ext cx="1066800" cy="1143000"/>
    <xdr:pic>
      <xdr:nvPicPr>
        <xdr:cNvPr id="34" name="image358.png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71</xdr:row>
      <xdr:rowOff>0</xdr:rowOff>
    </xdr:from>
    <xdr:ext cx="1114425" cy="1133475"/>
    <xdr:pic>
      <xdr:nvPicPr>
        <xdr:cNvPr id="35" name="image356.png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72</xdr:row>
      <xdr:rowOff>0</xdr:rowOff>
    </xdr:from>
    <xdr:ext cx="1143000" cy="1143000"/>
    <xdr:pic>
      <xdr:nvPicPr>
        <xdr:cNvPr id="36" name="image361.png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4</xdr:row>
      <xdr:rowOff>0</xdr:rowOff>
    </xdr:from>
    <xdr:to>
      <xdr:col>22</xdr:col>
      <xdr:colOff>304800</xdr:colOff>
      <xdr:row>4</xdr:row>
      <xdr:rowOff>304800</xdr:rowOff>
    </xdr:to>
    <xdr:sp macro="" textlink="">
      <xdr:nvSpPr>
        <xdr:cNvPr id="36" name="AutoShape 1">
          <a:extLst>
            <a:ext uri="{FF2B5EF4-FFF2-40B4-BE49-F238E27FC236}">
              <a16:creationId xmlns:a16="http://schemas.microsoft.com/office/drawing/2014/main" id="{7F9638F4-EC2E-41B5-9B0C-59B642AC56FC}"/>
            </a:ext>
          </a:extLst>
        </xdr:cNvPr>
        <xdr:cNvSpPr>
          <a:spLocks noChangeAspect="1" noChangeArrowheads="1"/>
        </xdr:cNvSpPr>
      </xdr:nvSpPr>
      <xdr:spPr bwMode="auto">
        <a:xfrm>
          <a:off x="18087975" y="1352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620278</xdr:colOff>
      <xdr:row>4</xdr:row>
      <xdr:rowOff>233359</xdr:rowOff>
    </xdr:from>
    <xdr:to>
      <xdr:col>3</xdr:col>
      <xdr:colOff>86591</xdr:colOff>
      <xdr:row>4</xdr:row>
      <xdr:rowOff>1534970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89E97ADD-ABCB-ED88-C667-494A8FEA03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24" t="77996" r="9410" b="6518"/>
        <a:stretch>
          <a:fillRect/>
        </a:stretch>
      </xdr:blipFill>
      <xdr:spPr>
        <a:xfrm>
          <a:off x="1832551" y="1688086"/>
          <a:ext cx="3847813" cy="1295261"/>
        </a:xfrm>
        <a:prstGeom prst="rect">
          <a:avLst/>
        </a:prstGeom>
      </xdr:spPr>
    </xdr:pic>
    <xdr:clientData/>
  </xdr:twoCellAnchor>
  <xdr:twoCellAnchor editAs="oneCell">
    <xdr:from>
      <xdr:col>2</xdr:col>
      <xdr:colOff>595169</xdr:colOff>
      <xdr:row>7</xdr:row>
      <xdr:rowOff>1635702</xdr:rowOff>
    </xdr:from>
    <xdr:to>
      <xdr:col>2</xdr:col>
      <xdr:colOff>4046105</xdr:colOff>
      <xdr:row>8</xdr:row>
      <xdr:rowOff>1727056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1AEF8F39-4F21-4D86-8F4A-A19A09DB80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97" t="9321" r="23134" b="71378"/>
        <a:stretch>
          <a:fillRect/>
        </a:stretch>
      </xdr:blipFill>
      <xdr:spPr>
        <a:xfrm>
          <a:off x="1807442" y="8026111"/>
          <a:ext cx="3457286" cy="1733406"/>
        </a:xfrm>
        <a:prstGeom prst="rect">
          <a:avLst/>
        </a:prstGeom>
      </xdr:spPr>
    </xdr:pic>
    <xdr:clientData/>
  </xdr:twoCellAnchor>
  <xdr:twoCellAnchor editAs="oneCell">
    <xdr:from>
      <xdr:col>2</xdr:col>
      <xdr:colOff>308553</xdr:colOff>
      <xdr:row>7</xdr:row>
      <xdr:rowOff>59705</xdr:rowOff>
    </xdr:from>
    <xdr:to>
      <xdr:col>2</xdr:col>
      <xdr:colOff>4274416</xdr:colOff>
      <xdr:row>7</xdr:row>
      <xdr:rowOff>1552288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DD98A251-0646-4B46-987D-DFC91DEA9A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634" t="30914" r="24584" b="54451"/>
        <a:stretch>
          <a:fillRect/>
        </a:stretch>
      </xdr:blipFill>
      <xdr:spPr>
        <a:xfrm>
          <a:off x="1520826" y="6450114"/>
          <a:ext cx="3972213" cy="1492583"/>
        </a:xfrm>
        <a:prstGeom prst="rect">
          <a:avLst/>
        </a:prstGeom>
      </xdr:spPr>
    </xdr:pic>
    <xdr:clientData/>
  </xdr:twoCellAnchor>
  <xdr:twoCellAnchor editAs="oneCell">
    <xdr:from>
      <xdr:col>2</xdr:col>
      <xdr:colOff>256597</xdr:colOff>
      <xdr:row>6</xdr:row>
      <xdr:rowOff>97559</xdr:rowOff>
    </xdr:from>
    <xdr:to>
      <xdr:col>2</xdr:col>
      <xdr:colOff>4312227</xdr:colOff>
      <xdr:row>7</xdr:row>
      <xdr:rowOff>20494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7F5FDA8-6862-4F06-BE8A-1B492BF08B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7" t="48132" r="22080" b="36350"/>
        <a:stretch>
          <a:fillRect/>
        </a:stretch>
      </xdr:blipFill>
      <xdr:spPr>
        <a:xfrm>
          <a:off x="1468870" y="4842741"/>
          <a:ext cx="4055630" cy="1568162"/>
        </a:xfrm>
        <a:prstGeom prst="rect">
          <a:avLst/>
        </a:prstGeom>
      </xdr:spPr>
    </xdr:pic>
    <xdr:clientData/>
  </xdr:twoCellAnchor>
  <xdr:twoCellAnchor editAs="oneCell">
    <xdr:from>
      <xdr:col>2</xdr:col>
      <xdr:colOff>273916</xdr:colOff>
      <xdr:row>5</xdr:row>
      <xdr:rowOff>190500</xdr:rowOff>
    </xdr:from>
    <xdr:to>
      <xdr:col>3</xdr:col>
      <xdr:colOff>121227</xdr:colOff>
      <xdr:row>5</xdr:row>
      <xdr:rowOff>1520825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88B2D42-847B-4B8F-BC68-038C1F71DE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41" t="64790" r="17017" b="21960"/>
        <a:stretch>
          <a:fillRect/>
        </a:stretch>
      </xdr:blipFill>
      <xdr:spPr>
        <a:xfrm>
          <a:off x="1486189" y="3290455"/>
          <a:ext cx="4228811" cy="1330325"/>
        </a:xfrm>
        <a:prstGeom prst="rect">
          <a:avLst/>
        </a:prstGeom>
      </xdr:spPr>
    </xdr:pic>
    <xdr:clientData/>
  </xdr:twoCellAnchor>
  <xdr:twoCellAnchor editAs="oneCell">
    <xdr:from>
      <xdr:col>2</xdr:col>
      <xdr:colOff>48779</xdr:colOff>
      <xdr:row>18</xdr:row>
      <xdr:rowOff>37812</xdr:rowOff>
    </xdr:from>
    <xdr:to>
      <xdr:col>3</xdr:col>
      <xdr:colOff>221689</xdr:colOff>
      <xdr:row>19</xdr:row>
      <xdr:rowOff>28286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24F7096D-E05C-371D-CCAE-591A90236E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12" t="26687" r="14034" b="54350"/>
        <a:stretch>
          <a:fillRect/>
        </a:stretch>
      </xdr:blipFill>
      <xdr:spPr>
        <a:xfrm>
          <a:off x="1261052" y="17113539"/>
          <a:ext cx="4551235" cy="1760104"/>
        </a:xfrm>
        <a:prstGeom prst="rect">
          <a:avLst/>
        </a:prstGeom>
      </xdr:spPr>
    </xdr:pic>
    <xdr:clientData/>
  </xdr:twoCellAnchor>
  <xdr:twoCellAnchor editAs="oneCell">
    <xdr:from>
      <xdr:col>2</xdr:col>
      <xdr:colOff>45604</xdr:colOff>
      <xdr:row>19</xdr:row>
      <xdr:rowOff>30873</xdr:rowOff>
    </xdr:from>
    <xdr:to>
      <xdr:col>2</xdr:col>
      <xdr:colOff>4361006</xdr:colOff>
      <xdr:row>20</xdr:row>
      <xdr:rowOff>20494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FD492E2D-587E-453F-838C-8192AC9553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65" t="3136" r="17261" b="74450"/>
        <a:stretch>
          <a:fillRect/>
        </a:stretch>
      </xdr:blipFill>
      <xdr:spPr>
        <a:xfrm>
          <a:off x="1257877" y="18873055"/>
          <a:ext cx="4315402" cy="2050484"/>
        </a:xfrm>
        <a:prstGeom prst="rect">
          <a:avLst/>
        </a:prstGeom>
      </xdr:spPr>
    </xdr:pic>
    <xdr:clientData/>
  </xdr:twoCellAnchor>
  <xdr:twoCellAnchor editAs="oneCell">
    <xdr:from>
      <xdr:col>2</xdr:col>
      <xdr:colOff>69272</xdr:colOff>
      <xdr:row>17</xdr:row>
      <xdr:rowOff>86590</xdr:rowOff>
    </xdr:from>
    <xdr:to>
      <xdr:col>3</xdr:col>
      <xdr:colOff>297583</xdr:colOff>
      <xdr:row>17</xdr:row>
      <xdr:rowOff>1725468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D148E17C-F853-4F24-AA65-93DCEAD163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37" t="46864" r="13121" b="36779"/>
        <a:stretch>
          <a:fillRect/>
        </a:stretch>
      </xdr:blipFill>
      <xdr:spPr>
        <a:xfrm>
          <a:off x="1281545" y="15395863"/>
          <a:ext cx="4612986" cy="1642053"/>
        </a:xfrm>
        <a:prstGeom prst="rect">
          <a:avLst/>
        </a:prstGeom>
      </xdr:spPr>
    </xdr:pic>
    <xdr:clientData/>
  </xdr:twoCellAnchor>
  <xdr:twoCellAnchor editAs="oneCell">
    <xdr:from>
      <xdr:col>2</xdr:col>
      <xdr:colOff>204643</xdr:colOff>
      <xdr:row>16</xdr:row>
      <xdr:rowOff>225135</xdr:rowOff>
    </xdr:from>
    <xdr:to>
      <xdr:col>2</xdr:col>
      <xdr:colOff>4076123</xdr:colOff>
      <xdr:row>16</xdr:row>
      <xdr:rowOff>1610591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3E0BF7DC-2178-4C8C-B58C-1D639477BE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80" t="63771" r="22379" b="22486"/>
        <a:stretch>
          <a:fillRect/>
        </a:stretch>
      </xdr:blipFill>
      <xdr:spPr>
        <a:xfrm>
          <a:off x="1416916" y="13767953"/>
          <a:ext cx="3871480" cy="1388631"/>
        </a:xfrm>
        <a:prstGeom prst="rect">
          <a:avLst/>
        </a:prstGeom>
      </xdr:spPr>
    </xdr:pic>
    <xdr:clientData/>
  </xdr:twoCellAnchor>
  <xdr:twoCellAnchor editAs="oneCell">
    <xdr:from>
      <xdr:col>2</xdr:col>
      <xdr:colOff>499053</xdr:colOff>
      <xdr:row>15</xdr:row>
      <xdr:rowOff>314901</xdr:rowOff>
    </xdr:from>
    <xdr:to>
      <xdr:col>2</xdr:col>
      <xdr:colOff>3944413</xdr:colOff>
      <xdr:row>15</xdr:row>
      <xdr:rowOff>1544492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5F0C8F92-B17E-4E4A-BF6E-7AFB25BB01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049" t="78726" r="21594" b="8537"/>
        <a:stretch>
          <a:fillRect/>
        </a:stretch>
      </xdr:blipFill>
      <xdr:spPr>
        <a:xfrm>
          <a:off x="1711326" y="12091265"/>
          <a:ext cx="3445360" cy="12295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</xdr:colOff>
      <xdr:row>21</xdr:row>
      <xdr:rowOff>66675</xdr:rowOff>
    </xdr:from>
    <xdr:ext cx="1171575" cy="1219200"/>
    <xdr:pic>
      <xdr:nvPicPr>
        <xdr:cNvPr id="2" name="image10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95400" cy="1295400"/>
    <xdr:pic>
      <xdr:nvPicPr>
        <xdr:cNvPr id="3" name="image39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295400" cy="1266825"/>
    <xdr:pic>
      <xdr:nvPicPr>
        <xdr:cNvPr id="4" name="image1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95400" cy="1295400"/>
    <xdr:pic>
      <xdr:nvPicPr>
        <xdr:cNvPr id="5" name="image1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95400" cy="1295400"/>
    <xdr:pic>
      <xdr:nvPicPr>
        <xdr:cNvPr id="6" name="image25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95375" cy="1390650"/>
    <xdr:pic>
      <xdr:nvPicPr>
        <xdr:cNvPr id="7" name="image42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295400" cy="1295400"/>
    <xdr:pic>
      <xdr:nvPicPr>
        <xdr:cNvPr id="8" name="image30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95400" cy="1295400"/>
    <xdr:pic>
      <xdr:nvPicPr>
        <xdr:cNvPr id="9" name="image24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95400" cy="1295400"/>
    <xdr:pic>
      <xdr:nvPicPr>
        <xdr:cNvPr id="10" name="image14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95400" cy="1209675"/>
    <xdr:pic>
      <xdr:nvPicPr>
        <xdr:cNvPr id="11" name="image18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95400" cy="1295400"/>
    <xdr:pic>
      <xdr:nvPicPr>
        <xdr:cNvPr id="12" name="image16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295400" cy="1285875"/>
    <xdr:pic>
      <xdr:nvPicPr>
        <xdr:cNvPr id="13" name="image1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295400" cy="1266825"/>
    <xdr:pic>
      <xdr:nvPicPr>
        <xdr:cNvPr id="14" name="image34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76350" cy="1390650"/>
    <xdr:pic>
      <xdr:nvPicPr>
        <xdr:cNvPr id="15" name="image33.jp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295400" cy="1362075"/>
    <xdr:pic>
      <xdr:nvPicPr>
        <xdr:cNvPr id="16" name="image44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95400" cy="1371600"/>
    <xdr:pic>
      <xdr:nvPicPr>
        <xdr:cNvPr id="17" name="image22.jp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295400" cy="1343025"/>
    <xdr:pic>
      <xdr:nvPicPr>
        <xdr:cNvPr id="18" name="image31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295400" cy="1362075"/>
    <xdr:pic>
      <xdr:nvPicPr>
        <xdr:cNvPr id="19" name="image29.jp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95400" cy="1295400"/>
    <xdr:pic>
      <xdr:nvPicPr>
        <xdr:cNvPr id="20" name="image19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95400" cy="1295400"/>
    <xdr:pic>
      <xdr:nvPicPr>
        <xdr:cNvPr id="21" name="image41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295400" cy="1028700"/>
    <xdr:pic>
      <xdr:nvPicPr>
        <xdr:cNvPr id="22" name="image28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295400" cy="1295400"/>
    <xdr:pic>
      <xdr:nvPicPr>
        <xdr:cNvPr id="23" name="image35.pn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295400" cy="1295400"/>
    <xdr:pic>
      <xdr:nvPicPr>
        <xdr:cNvPr id="24" name="image26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295400" cy="1362075"/>
    <xdr:pic>
      <xdr:nvPicPr>
        <xdr:cNvPr id="25" name="image20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295400" cy="1362075"/>
    <xdr:pic>
      <xdr:nvPicPr>
        <xdr:cNvPr id="26" name="image27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295400" cy="1381125"/>
    <xdr:pic>
      <xdr:nvPicPr>
        <xdr:cNvPr id="27" name="image46.jp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6352</xdr:colOff>
      <xdr:row>15</xdr:row>
      <xdr:rowOff>19050</xdr:rowOff>
    </xdr:from>
    <xdr:to>
      <xdr:col>2</xdr:col>
      <xdr:colOff>1307827</xdr:colOff>
      <xdr:row>15</xdr:row>
      <xdr:rowOff>1257300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7C64212-B58D-1256-BE28-72FD6D908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927" y="15468600"/>
          <a:ext cx="1304650" cy="1238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19</xdr:row>
      <xdr:rowOff>171450</xdr:rowOff>
    </xdr:from>
    <xdr:ext cx="3952875" cy="2286000"/>
    <xdr:pic>
      <xdr:nvPicPr>
        <xdr:cNvPr id="2" name="image38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400050</xdr:colOff>
      <xdr:row>19</xdr:row>
      <xdr:rowOff>123825</xdr:rowOff>
    </xdr:from>
    <xdr:ext cx="4171950" cy="3190875"/>
    <xdr:pic>
      <xdr:nvPicPr>
        <xdr:cNvPr id="3" name="image48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295400" cy="1295400"/>
    <xdr:pic>
      <xdr:nvPicPr>
        <xdr:cNvPr id="4" name="image32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228725" cy="1247775"/>
    <xdr:pic>
      <xdr:nvPicPr>
        <xdr:cNvPr id="5" name="image45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247775" cy="1247775"/>
    <xdr:pic>
      <xdr:nvPicPr>
        <xdr:cNvPr id="6" name="image51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228725" cy="1247775"/>
    <xdr:pic>
      <xdr:nvPicPr>
        <xdr:cNvPr id="7" name="image37.pn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295400" cy="1295400"/>
    <xdr:pic>
      <xdr:nvPicPr>
        <xdr:cNvPr id="8" name="image36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295400" cy="1295400"/>
    <xdr:pic>
      <xdr:nvPicPr>
        <xdr:cNvPr id="9" name="image40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200150" cy="1200150"/>
    <xdr:pic>
      <xdr:nvPicPr>
        <xdr:cNvPr id="10" name="image61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238250" cy="1238250"/>
    <xdr:pic>
      <xdr:nvPicPr>
        <xdr:cNvPr id="11" name="image57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876300" cy="1171575"/>
    <xdr:pic>
      <xdr:nvPicPr>
        <xdr:cNvPr id="13" name="image69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895350" cy="1209675"/>
    <xdr:pic>
      <xdr:nvPicPr>
        <xdr:cNvPr id="14" name="image47.jp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76201</xdr:colOff>
      <xdr:row>13</xdr:row>
      <xdr:rowOff>44556</xdr:rowOff>
    </xdr:from>
    <xdr:to>
      <xdr:col>2</xdr:col>
      <xdr:colOff>1295401</xdr:colOff>
      <xdr:row>13</xdr:row>
      <xdr:rowOff>1178083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EE1F45E-53A1-67D2-E001-688E6A9C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1" y="11503131"/>
          <a:ext cx="1219200" cy="113352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1209675</xdr:colOff>
      <xdr:row>5</xdr:row>
      <xdr:rowOff>28575</xdr:rowOff>
    </xdr:from>
    <xdr:ext cx="923925" cy="533400"/>
    <xdr:pic>
      <xdr:nvPicPr>
        <xdr:cNvPr id="2" name="image99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9525</xdr:colOff>
      <xdr:row>5</xdr:row>
      <xdr:rowOff>638175</xdr:rowOff>
    </xdr:from>
    <xdr:ext cx="923925" cy="847725"/>
    <xdr:pic>
      <xdr:nvPicPr>
        <xdr:cNvPr id="3" name="image107.jpg" title="Ima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895350" cy="876300"/>
    <xdr:pic>
      <xdr:nvPicPr>
        <xdr:cNvPr id="4" name="image110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57150</xdr:colOff>
      <xdr:row>8</xdr:row>
      <xdr:rowOff>0</xdr:rowOff>
    </xdr:from>
    <xdr:ext cx="866775" cy="866775"/>
    <xdr:pic>
      <xdr:nvPicPr>
        <xdr:cNvPr id="5" name="image130.jp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7300" y="3152775"/>
          <a:ext cx="86677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9</xdr:row>
      <xdr:rowOff>0</xdr:rowOff>
    </xdr:from>
    <xdr:ext cx="857250" cy="876300"/>
    <xdr:pic>
      <xdr:nvPicPr>
        <xdr:cNvPr id="6" name="image74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10</xdr:row>
      <xdr:rowOff>0</xdr:rowOff>
    </xdr:from>
    <xdr:ext cx="857250" cy="866775"/>
    <xdr:pic>
      <xdr:nvPicPr>
        <xdr:cNvPr id="7" name="image80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</xdr:row>
      <xdr:rowOff>0</xdr:rowOff>
    </xdr:from>
    <xdr:ext cx="904875" cy="876300"/>
    <xdr:pic>
      <xdr:nvPicPr>
        <xdr:cNvPr id="8" name="image123.jp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</xdr:row>
      <xdr:rowOff>0</xdr:rowOff>
    </xdr:from>
    <xdr:ext cx="876300" cy="857250"/>
    <xdr:pic>
      <xdr:nvPicPr>
        <xdr:cNvPr id="9" name="image133.jp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</xdr:colOff>
      <xdr:row>13</xdr:row>
      <xdr:rowOff>0</xdr:rowOff>
    </xdr:from>
    <xdr:ext cx="762000" cy="857250"/>
    <xdr:pic>
      <xdr:nvPicPr>
        <xdr:cNvPr id="10" name="image89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1247775" y="7515225"/>
          <a:ext cx="762000" cy="857250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1009650</xdr:colOff>
      <xdr:row>42</xdr:row>
      <xdr:rowOff>66675</xdr:rowOff>
    </xdr:from>
    <xdr:ext cx="1066800" cy="1104900"/>
    <xdr:pic>
      <xdr:nvPicPr>
        <xdr:cNvPr id="2" name="image59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1009650</xdr:colOff>
      <xdr:row>43</xdr:row>
      <xdr:rowOff>38100</xdr:rowOff>
    </xdr:from>
    <xdr:ext cx="1066800" cy="1123950"/>
    <xdr:pic>
      <xdr:nvPicPr>
        <xdr:cNvPr id="3" name="image50.png" title="Image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638175</xdr:colOff>
      <xdr:row>50</xdr:row>
      <xdr:rowOff>57150</xdr:rowOff>
    </xdr:from>
    <xdr:ext cx="6315075" cy="6143625"/>
    <xdr:pic>
      <xdr:nvPicPr>
        <xdr:cNvPr id="4" name="image81.jpg" title="Imag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47626</xdr:colOff>
      <xdr:row>6</xdr:row>
      <xdr:rowOff>114300</xdr:rowOff>
    </xdr:from>
    <xdr:ext cx="1047750" cy="1066800"/>
    <xdr:pic>
      <xdr:nvPicPr>
        <xdr:cNvPr id="5" name="image49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926" y="1485900"/>
          <a:ext cx="1047750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7</xdr:row>
      <xdr:rowOff>161925</xdr:rowOff>
    </xdr:from>
    <xdr:ext cx="1038225" cy="962025"/>
    <xdr:pic>
      <xdr:nvPicPr>
        <xdr:cNvPr id="6" name="image56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975" y="2800350"/>
          <a:ext cx="10382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85725</xdr:colOff>
      <xdr:row>8</xdr:row>
      <xdr:rowOff>190500</xdr:rowOff>
    </xdr:from>
    <xdr:ext cx="1000125" cy="904875"/>
    <xdr:pic>
      <xdr:nvPicPr>
        <xdr:cNvPr id="7" name="image71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025" y="4095750"/>
          <a:ext cx="1000125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95251</xdr:colOff>
      <xdr:row>9</xdr:row>
      <xdr:rowOff>114300</xdr:rowOff>
    </xdr:from>
    <xdr:ext cx="990600" cy="1028700"/>
    <xdr:pic>
      <xdr:nvPicPr>
        <xdr:cNvPr id="8" name="image64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33551" y="5286375"/>
          <a:ext cx="990600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10</xdr:row>
      <xdr:rowOff>180974</xdr:rowOff>
    </xdr:from>
    <xdr:ext cx="981075" cy="981075"/>
    <xdr:pic>
      <xdr:nvPicPr>
        <xdr:cNvPr id="9" name="image63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6619874"/>
          <a:ext cx="98107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11</xdr:row>
      <xdr:rowOff>180974</xdr:rowOff>
    </xdr:from>
    <xdr:ext cx="981075" cy="962025"/>
    <xdr:pic>
      <xdr:nvPicPr>
        <xdr:cNvPr id="10" name="image83.pn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975" y="7886699"/>
          <a:ext cx="98107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28575</xdr:colOff>
      <xdr:row>12</xdr:row>
      <xdr:rowOff>133349</xdr:rowOff>
    </xdr:from>
    <xdr:ext cx="1076325" cy="1019175"/>
    <xdr:pic>
      <xdr:nvPicPr>
        <xdr:cNvPr id="11" name="image53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5" y="9105899"/>
          <a:ext cx="107632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17</xdr:row>
      <xdr:rowOff>142875</xdr:rowOff>
    </xdr:from>
    <xdr:ext cx="990600" cy="923925"/>
    <xdr:pic>
      <xdr:nvPicPr>
        <xdr:cNvPr id="12" name="image55.pn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2077700"/>
          <a:ext cx="99060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76201</xdr:colOff>
      <xdr:row>18</xdr:row>
      <xdr:rowOff>152400</xdr:rowOff>
    </xdr:from>
    <xdr:ext cx="1009650" cy="952500"/>
    <xdr:pic>
      <xdr:nvPicPr>
        <xdr:cNvPr id="13" name="image65.pn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1" y="13354050"/>
          <a:ext cx="10096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66676</xdr:colOff>
      <xdr:row>19</xdr:row>
      <xdr:rowOff>219075</xdr:rowOff>
    </xdr:from>
    <xdr:ext cx="1009650" cy="828675"/>
    <xdr:pic>
      <xdr:nvPicPr>
        <xdr:cNvPr id="14" name="image58.jp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976" y="14687550"/>
          <a:ext cx="1009650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20</xdr:row>
      <xdr:rowOff>238125</xdr:rowOff>
    </xdr:from>
    <xdr:ext cx="1038225" cy="857250"/>
    <xdr:pic>
      <xdr:nvPicPr>
        <xdr:cNvPr id="15" name="image70.jp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85925" y="15973425"/>
          <a:ext cx="103822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114425" cy="1114425"/>
    <xdr:pic>
      <xdr:nvPicPr>
        <xdr:cNvPr id="16" name="image54.pn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22</xdr:row>
      <xdr:rowOff>142875</xdr:rowOff>
    </xdr:from>
    <xdr:ext cx="1028700" cy="990600"/>
    <xdr:pic>
      <xdr:nvPicPr>
        <xdr:cNvPr id="17" name="image73.jp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95450" y="18411825"/>
          <a:ext cx="1028700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23</xdr:row>
      <xdr:rowOff>161925</xdr:rowOff>
    </xdr:from>
    <xdr:ext cx="1038225" cy="1028700"/>
    <xdr:pic>
      <xdr:nvPicPr>
        <xdr:cNvPr id="18" name="image52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14500" y="19697700"/>
          <a:ext cx="1038225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19051</xdr:colOff>
      <xdr:row>24</xdr:row>
      <xdr:rowOff>152399</xdr:rowOff>
    </xdr:from>
    <xdr:ext cx="1047750" cy="809625"/>
    <xdr:pic>
      <xdr:nvPicPr>
        <xdr:cNvPr id="19" name="image67.jp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7351" y="20954999"/>
          <a:ext cx="104775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66674</xdr:colOff>
      <xdr:row>25</xdr:row>
      <xdr:rowOff>171450</xdr:rowOff>
    </xdr:from>
    <xdr:ext cx="1009651" cy="981074"/>
    <xdr:pic>
      <xdr:nvPicPr>
        <xdr:cNvPr id="20" name="image62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974" y="22240875"/>
          <a:ext cx="1009651" cy="981074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28576</xdr:colOff>
      <xdr:row>26</xdr:row>
      <xdr:rowOff>142875</xdr:rowOff>
    </xdr:from>
    <xdr:ext cx="1047750" cy="857250"/>
    <xdr:pic>
      <xdr:nvPicPr>
        <xdr:cNvPr id="21" name="image68.jp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66876" y="23479125"/>
          <a:ext cx="10477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27</xdr:row>
      <xdr:rowOff>209549</xdr:rowOff>
    </xdr:from>
    <xdr:ext cx="1038225" cy="828675"/>
    <xdr:pic>
      <xdr:nvPicPr>
        <xdr:cNvPr id="22" name="image60.jp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6400" y="24812624"/>
          <a:ext cx="103822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66675</xdr:colOff>
      <xdr:row>28</xdr:row>
      <xdr:rowOff>123825</xdr:rowOff>
    </xdr:from>
    <xdr:ext cx="962025" cy="942975"/>
    <xdr:pic>
      <xdr:nvPicPr>
        <xdr:cNvPr id="23" name="image82.jp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4975" y="25993725"/>
          <a:ext cx="96202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85726</xdr:colOff>
      <xdr:row>29</xdr:row>
      <xdr:rowOff>114300</xdr:rowOff>
    </xdr:from>
    <xdr:ext cx="971550" cy="1009650"/>
    <xdr:pic>
      <xdr:nvPicPr>
        <xdr:cNvPr id="24" name="image66.jp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24026" y="27251025"/>
          <a:ext cx="971550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35</xdr:row>
      <xdr:rowOff>0</xdr:rowOff>
    </xdr:from>
    <xdr:ext cx="1114425" cy="1143000"/>
    <xdr:pic>
      <xdr:nvPicPr>
        <xdr:cNvPr id="25" name="image84.jp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36</xdr:row>
      <xdr:rowOff>0</xdr:rowOff>
    </xdr:from>
    <xdr:ext cx="1114425" cy="1143000"/>
    <xdr:pic>
      <xdr:nvPicPr>
        <xdr:cNvPr id="26" name="image72.jp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37</xdr:row>
      <xdr:rowOff>0</xdr:rowOff>
    </xdr:from>
    <xdr:ext cx="1114425" cy="1162050"/>
    <xdr:pic>
      <xdr:nvPicPr>
        <xdr:cNvPr id="27" name="image85.jp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38</xdr:row>
      <xdr:rowOff>0</xdr:rowOff>
    </xdr:from>
    <xdr:ext cx="1114425" cy="876300"/>
    <xdr:pic>
      <xdr:nvPicPr>
        <xdr:cNvPr id="28" name="image76.jp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39</xdr:row>
      <xdr:rowOff>0</xdr:rowOff>
    </xdr:from>
    <xdr:ext cx="1114425" cy="1143000"/>
    <xdr:pic>
      <xdr:nvPicPr>
        <xdr:cNvPr id="29" name="image78.jp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40</xdr:row>
      <xdr:rowOff>0</xdr:rowOff>
    </xdr:from>
    <xdr:ext cx="1114425" cy="1181100"/>
    <xdr:pic>
      <xdr:nvPicPr>
        <xdr:cNvPr id="30" name="image75.jpg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41</xdr:row>
      <xdr:rowOff>0</xdr:rowOff>
    </xdr:from>
    <xdr:ext cx="1114425" cy="1181100"/>
    <xdr:pic>
      <xdr:nvPicPr>
        <xdr:cNvPr id="31" name="image86.jpg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44</xdr:row>
      <xdr:rowOff>0</xdr:rowOff>
    </xdr:from>
    <xdr:ext cx="1114425" cy="1000125"/>
    <xdr:pic>
      <xdr:nvPicPr>
        <xdr:cNvPr id="32" name="image77.jpg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962025</xdr:colOff>
      <xdr:row>32</xdr:row>
      <xdr:rowOff>19050</xdr:rowOff>
    </xdr:from>
    <xdr:ext cx="5819775" cy="5410200"/>
    <xdr:pic>
      <xdr:nvPicPr>
        <xdr:cNvPr id="2" name="image87.jpg" title="Ima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000125" cy="1000125"/>
    <xdr:pic>
      <xdr:nvPicPr>
        <xdr:cNvPr id="3" name="image95.pn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962025" cy="952500"/>
    <xdr:pic>
      <xdr:nvPicPr>
        <xdr:cNvPr id="4" name="image90.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028700" cy="1028700"/>
    <xdr:pic>
      <xdr:nvPicPr>
        <xdr:cNvPr id="5" name="image96.png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009650" cy="1000125"/>
    <xdr:pic>
      <xdr:nvPicPr>
        <xdr:cNvPr id="6" name="image79.png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28700" cy="1057275"/>
    <xdr:pic>
      <xdr:nvPicPr>
        <xdr:cNvPr id="7" name="image91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28700" cy="1019175"/>
    <xdr:pic>
      <xdr:nvPicPr>
        <xdr:cNvPr id="8" name="image94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28700" cy="1028700"/>
    <xdr:pic>
      <xdr:nvPicPr>
        <xdr:cNvPr id="9" name="image92.png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028700" cy="1028700"/>
    <xdr:pic>
      <xdr:nvPicPr>
        <xdr:cNvPr id="10" name="image88.png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028700" cy="1019175"/>
    <xdr:pic>
      <xdr:nvPicPr>
        <xdr:cNvPr id="11" name="image103.png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28700" cy="1019175"/>
    <xdr:pic>
      <xdr:nvPicPr>
        <xdr:cNvPr id="12" name="image108.png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028700" cy="1038225"/>
    <xdr:pic>
      <xdr:nvPicPr>
        <xdr:cNvPr id="13" name="image98.png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028700" cy="1019175"/>
    <xdr:pic>
      <xdr:nvPicPr>
        <xdr:cNvPr id="14" name="image112.png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028700" cy="1019175"/>
    <xdr:pic>
      <xdr:nvPicPr>
        <xdr:cNvPr id="15" name="image105.png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028700" cy="1019175"/>
    <xdr:pic>
      <xdr:nvPicPr>
        <xdr:cNvPr id="16" name="image93.png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028700" cy="1019175"/>
    <xdr:pic>
      <xdr:nvPicPr>
        <xdr:cNvPr id="17" name="image102.png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028700" cy="1028700"/>
    <xdr:pic>
      <xdr:nvPicPr>
        <xdr:cNvPr id="18" name="image97.png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809625" cy="1095375"/>
    <xdr:pic>
      <xdr:nvPicPr>
        <xdr:cNvPr id="20" name="image104.jpg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028700" cy="590550"/>
    <xdr:pic>
      <xdr:nvPicPr>
        <xdr:cNvPr id="21" name="image101.jpg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44904</xdr:colOff>
      <xdr:row>24</xdr:row>
      <xdr:rowOff>68341</xdr:rowOff>
    </xdr:from>
    <xdr:to>
      <xdr:col>2</xdr:col>
      <xdr:colOff>1022266</xdr:colOff>
      <xdr:row>24</xdr:row>
      <xdr:rowOff>1037318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A84F16BE-37D2-C10F-F586-FC89AA448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868" y="18995877"/>
          <a:ext cx="974187" cy="965802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7</xdr:row>
      <xdr:rowOff>107921</xdr:rowOff>
    </xdr:from>
    <xdr:to>
      <xdr:col>2</xdr:col>
      <xdr:colOff>1048781</xdr:colOff>
      <xdr:row>7</xdr:row>
      <xdr:rowOff>884464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DFAECD1-C0F4-6295-B198-0058928E4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1393" y="2910992"/>
          <a:ext cx="994352" cy="776543"/>
        </a:xfrm>
        <a:prstGeom prst="rect">
          <a:avLst/>
        </a:prstGeom>
      </xdr:spPr>
    </xdr:pic>
    <xdr:clientData/>
  </xdr:twoCellAnchor>
  <xdr:twoCellAnchor editAs="oneCell">
    <xdr:from>
      <xdr:col>2</xdr:col>
      <xdr:colOff>40823</xdr:colOff>
      <xdr:row>8</xdr:row>
      <xdr:rowOff>48078</xdr:rowOff>
    </xdr:from>
    <xdr:to>
      <xdr:col>2</xdr:col>
      <xdr:colOff>1066745</xdr:colOff>
      <xdr:row>8</xdr:row>
      <xdr:rowOff>1055007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A7E4F26-2921-F9D4-1565-3F42377C5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7787" y="3953328"/>
          <a:ext cx="1025922" cy="10132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</xdr:row>
      <xdr:rowOff>0</xdr:rowOff>
    </xdr:from>
    <xdr:ext cx="1114425" cy="1162050"/>
    <xdr:pic>
      <xdr:nvPicPr>
        <xdr:cNvPr id="2" name="image106.jp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6</xdr:row>
      <xdr:rowOff>0</xdr:rowOff>
    </xdr:from>
    <xdr:ext cx="1114425" cy="1143000"/>
    <xdr:pic>
      <xdr:nvPicPr>
        <xdr:cNvPr id="3" name="image118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14425" cy="1181100"/>
    <xdr:pic>
      <xdr:nvPicPr>
        <xdr:cNvPr id="4" name="image111.jp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114425" cy="1162050"/>
    <xdr:pic>
      <xdr:nvPicPr>
        <xdr:cNvPr id="5" name="image114.jp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114425" cy="1143000"/>
    <xdr:pic>
      <xdr:nvPicPr>
        <xdr:cNvPr id="6" name="image125.jp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114425" cy="762000"/>
    <xdr:pic>
      <xdr:nvPicPr>
        <xdr:cNvPr id="7" name="image109.jpg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11</xdr:row>
      <xdr:rowOff>0</xdr:rowOff>
    </xdr:from>
    <xdr:ext cx="1114425" cy="1171575"/>
    <xdr:pic>
      <xdr:nvPicPr>
        <xdr:cNvPr id="8" name="image122.jpg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114425" cy="1162050"/>
    <xdr:pic>
      <xdr:nvPicPr>
        <xdr:cNvPr id="9" name="image120.jpg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114425" cy="1181100"/>
    <xdr:pic>
      <xdr:nvPicPr>
        <xdr:cNvPr id="10" name="image127.png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114425" cy="1162050"/>
    <xdr:pic>
      <xdr:nvPicPr>
        <xdr:cNvPr id="11" name="image132.pn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114425" cy="1123950"/>
    <xdr:pic>
      <xdr:nvPicPr>
        <xdr:cNvPr id="12" name="image128.jpg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16</xdr:row>
      <xdr:rowOff>0</xdr:rowOff>
    </xdr:from>
    <xdr:ext cx="1114425" cy="1162050"/>
    <xdr:pic>
      <xdr:nvPicPr>
        <xdr:cNvPr id="13" name="image121.jpg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14425" cy="762000"/>
    <xdr:pic>
      <xdr:nvPicPr>
        <xdr:cNvPr id="14" name="image135.jpg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114425" cy="790575"/>
    <xdr:pic>
      <xdr:nvPicPr>
        <xdr:cNvPr id="15" name="image113.jpg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114425" cy="762000"/>
    <xdr:pic>
      <xdr:nvPicPr>
        <xdr:cNvPr id="16" name="image116.jpg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114425" cy="762000"/>
    <xdr:pic>
      <xdr:nvPicPr>
        <xdr:cNvPr id="17" name="image119.jpg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114425" cy="1114425"/>
    <xdr:pic>
      <xdr:nvPicPr>
        <xdr:cNvPr id="18" name="image151.jpg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114425" cy="1162050"/>
    <xdr:pic>
      <xdr:nvPicPr>
        <xdr:cNvPr id="19" name="image115.jpg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114425" cy="1162050"/>
    <xdr:pic>
      <xdr:nvPicPr>
        <xdr:cNvPr id="20" name="image138.jpg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114425" cy="1143000"/>
    <xdr:pic>
      <xdr:nvPicPr>
        <xdr:cNvPr id="21" name="image129.jpg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114425" cy="733425"/>
    <xdr:pic>
      <xdr:nvPicPr>
        <xdr:cNvPr id="22" name="image117.png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26</xdr:row>
      <xdr:rowOff>0</xdr:rowOff>
    </xdr:from>
    <xdr:ext cx="1114425" cy="1162050"/>
    <xdr:pic>
      <xdr:nvPicPr>
        <xdr:cNvPr id="23" name="image124.jpg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114425" cy="1114425"/>
    <xdr:pic>
      <xdr:nvPicPr>
        <xdr:cNvPr id="24" name="image126.png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114425" cy="1114425"/>
    <xdr:pic>
      <xdr:nvPicPr>
        <xdr:cNvPr id="25" name="image134.png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1114425" cy="1114425"/>
    <xdr:pic>
      <xdr:nvPicPr>
        <xdr:cNvPr id="26" name="image156.png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30</xdr:row>
      <xdr:rowOff>0</xdr:rowOff>
    </xdr:from>
    <xdr:ext cx="1114425" cy="1114425"/>
    <xdr:pic>
      <xdr:nvPicPr>
        <xdr:cNvPr id="27" name="image146.png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31</xdr:row>
      <xdr:rowOff>0</xdr:rowOff>
    </xdr:from>
    <xdr:ext cx="1114425" cy="1114425"/>
    <xdr:pic>
      <xdr:nvPicPr>
        <xdr:cNvPr id="28" name="image139.png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32</xdr:row>
      <xdr:rowOff>0</xdr:rowOff>
    </xdr:from>
    <xdr:ext cx="1114425" cy="1114425"/>
    <xdr:pic>
      <xdr:nvPicPr>
        <xdr:cNvPr id="29" name="image131.png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33</xdr:row>
      <xdr:rowOff>0</xdr:rowOff>
    </xdr:from>
    <xdr:ext cx="1114425" cy="1162050"/>
    <xdr:pic>
      <xdr:nvPicPr>
        <xdr:cNvPr id="30" name="image136.png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34</xdr:row>
      <xdr:rowOff>0</xdr:rowOff>
    </xdr:from>
    <xdr:ext cx="1114425" cy="1114425"/>
    <xdr:pic>
      <xdr:nvPicPr>
        <xdr:cNvPr id="31" name="image149.png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</xdr:row>
      <xdr:rowOff>0</xdr:rowOff>
    </xdr:from>
    <xdr:ext cx="923925" cy="942975"/>
    <xdr:pic>
      <xdr:nvPicPr>
        <xdr:cNvPr id="4" name="image140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028700" cy="1009650"/>
    <xdr:pic>
      <xdr:nvPicPr>
        <xdr:cNvPr id="5" name="image154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8</xdr:row>
      <xdr:rowOff>0</xdr:rowOff>
    </xdr:from>
    <xdr:ext cx="1028700" cy="1009650"/>
    <xdr:pic>
      <xdr:nvPicPr>
        <xdr:cNvPr id="6" name="image142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028700" cy="1009650"/>
    <xdr:pic>
      <xdr:nvPicPr>
        <xdr:cNvPr id="7" name="image152.pn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66674</xdr:colOff>
      <xdr:row>10</xdr:row>
      <xdr:rowOff>104774</xdr:rowOff>
    </xdr:from>
    <xdr:ext cx="923925" cy="866775"/>
    <xdr:pic>
      <xdr:nvPicPr>
        <xdr:cNvPr id="8" name="image143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19274" y="5610224"/>
          <a:ext cx="92392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38099</xdr:colOff>
      <xdr:row>11</xdr:row>
      <xdr:rowOff>161925</xdr:rowOff>
    </xdr:from>
    <xdr:ext cx="962025" cy="876300"/>
    <xdr:pic>
      <xdr:nvPicPr>
        <xdr:cNvPr id="9" name="image178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90699" y="6772275"/>
          <a:ext cx="962025" cy="8763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028700" cy="1028700"/>
    <xdr:pic>
      <xdr:nvPicPr>
        <xdr:cNvPr id="10" name="image157.pn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028700" cy="1009650"/>
    <xdr:pic>
      <xdr:nvPicPr>
        <xdr:cNvPr id="11" name="image144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028700" cy="1028700"/>
    <xdr:pic>
      <xdr:nvPicPr>
        <xdr:cNvPr id="12" name="image163.pn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028700" cy="1028700"/>
    <xdr:pic>
      <xdr:nvPicPr>
        <xdr:cNvPr id="13" name="image169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028700" cy="1009650"/>
    <xdr:pic>
      <xdr:nvPicPr>
        <xdr:cNvPr id="14" name="image147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28576</xdr:colOff>
      <xdr:row>16</xdr:row>
      <xdr:rowOff>73026</xdr:rowOff>
    </xdr:from>
    <xdr:to>
      <xdr:col>2</xdr:col>
      <xdr:colOff>1031061</xdr:colOff>
      <xdr:row>16</xdr:row>
      <xdr:rowOff>1044576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5B783F4-B679-9565-7AD0-E443A2B06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1" y="12912726"/>
          <a:ext cx="1002485" cy="9715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6</xdr:row>
      <xdr:rowOff>104775</xdr:rowOff>
    </xdr:from>
    <xdr:ext cx="1114425" cy="1095375"/>
    <xdr:pic>
      <xdr:nvPicPr>
        <xdr:cNvPr id="2" name="image150.jpg" title="Imag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95375" y="1962150"/>
          <a:ext cx="111442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26</xdr:row>
      <xdr:rowOff>47625</xdr:rowOff>
    </xdr:from>
    <xdr:ext cx="1057275" cy="1114425"/>
    <xdr:pic>
      <xdr:nvPicPr>
        <xdr:cNvPr id="3" name="image159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47625</xdr:colOff>
      <xdr:row>11</xdr:row>
      <xdr:rowOff>104775</xdr:rowOff>
    </xdr:from>
    <xdr:ext cx="1066800" cy="1104900"/>
    <xdr:pic>
      <xdr:nvPicPr>
        <xdr:cNvPr id="4" name="image153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76200</xdr:colOff>
      <xdr:row>7</xdr:row>
      <xdr:rowOff>38100</xdr:rowOff>
    </xdr:from>
    <xdr:ext cx="1066800" cy="1104900"/>
    <xdr:pic>
      <xdr:nvPicPr>
        <xdr:cNvPr id="5" name="image145.png" title="Image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16</xdr:row>
      <xdr:rowOff>47625</xdr:rowOff>
    </xdr:from>
    <xdr:ext cx="1066800" cy="1123950"/>
    <xdr:pic>
      <xdr:nvPicPr>
        <xdr:cNvPr id="6" name="image160.pn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8</xdr:row>
      <xdr:rowOff>104775</xdr:rowOff>
    </xdr:from>
    <xdr:ext cx="1057275" cy="1095375"/>
    <xdr:pic>
      <xdr:nvPicPr>
        <xdr:cNvPr id="7" name="image155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9</xdr:row>
      <xdr:rowOff>0</xdr:rowOff>
    </xdr:from>
    <xdr:ext cx="1266825" cy="1266825"/>
    <xdr:pic>
      <xdr:nvPicPr>
        <xdr:cNvPr id="8" name="image148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10</xdr:row>
      <xdr:rowOff>0</xdr:rowOff>
    </xdr:from>
    <xdr:ext cx="1162050" cy="1266825"/>
    <xdr:pic>
      <xdr:nvPicPr>
        <xdr:cNvPr id="9" name="image172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12</xdr:row>
      <xdr:rowOff>0</xdr:rowOff>
    </xdr:from>
    <xdr:ext cx="1123950" cy="1266825"/>
    <xdr:pic>
      <xdr:nvPicPr>
        <xdr:cNvPr id="10" name="image158.jp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1209675" cy="1266825"/>
    <xdr:pic>
      <xdr:nvPicPr>
        <xdr:cNvPr id="11" name="image182.pn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1209675" cy="1266825"/>
    <xdr:pic>
      <xdr:nvPicPr>
        <xdr:cNvPr id="12" name="image190.jp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15</xdr:row>
      <xdr:rowOff>0</xdr:rowOff>
    </xdr:from>
    <xdr:ext cx="1181100" cy="1266825"/>
    <xdr:pic>
      <xdr:nvPicPr>
        <xdr:cNvPr id="13" name="image185.pn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17</xdr:row>
      <xdr:rowOff>0</xdr:rowOff>
    </xdr:from>
    <xdr:ext cx="1162050" cy="1266825"/>
    <xdr:pic>
      <xdr:nvPicPr>
        <xdr:cNvPr id="14" name="image167.jp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18</xdr:row>
      <xdr:rowOff>0</xdr:rowOff>
    </xdr:from>
    <xdr:ext cx="1266825" cy="1266825"/>
    <xdr:pic>
      <xdr:nvPicPr>
        <xdr:cNvPr id="15" name="image165.pn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19</xdr:row>
      <xdr:rowOff>0</xdr:rowOff>
    </xdr:from>
    <xdr:ext cx="1209675" cy="1266825"/>
    <xdr:pic>
      <xdr:nvPicPr>
        <xdr:cNvPr id="16" name="image161.jp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20</xdr:row>
      <xdr:rowOff>0</xdr:rowOff>
    </xdr:from>
    <xdr:ext cx="1162050" cy="1266825"/>
    <xdr:pic>
      <xdr:nvPicPr>
        <xdr:cNvPr id="17" name="image168.pn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21</xdr:row>
      <xdr:rowOff>0</xdr:rowOff>
    </xdr:from>
    <xdr:ext cx="1209675" cy="1266825"/>
    <xdr:pic>
      <xdr:nvPicPr>
        <xdr:cNvPr id="18" name="image176.jp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22</xdr:row>
      <xdr:rowOff>0</xdr:rowOff>
    </xdr:from>
    <xdr:ext cx="1209675" cy="1266825"/>
    <xdr:pic>
      <xdr:nvPicPr>
        <xdr:cNvPr id="19" name="image164.jp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23</xdr:row>
      <xdr:rowOff>0</xdr:rowOff>
    </xdr:from>
    <xdr:ext cx="1190625" cy="1266825"/>
    <xdr:pic>
      <xdr:nvPicPr>
        <xdr:cNvPr id="20" name="image171.jp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24</xdr:row>
      <xdr:rowOff>0</xdr:rowOff>
    </xdr:from>
    <xdr:ext cx="1209675" cy="1266825"/>
    <xdr:pic>
      <xdr:nvPicPr>
        <xdr:cNvPr id="21" name="image212.jp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25</xdr:row>
      <xdr:rowOff>0</xdr:rowOff>
    </xdr:from>
    <xdr:ext cx="1209675" cy="1266825"/>
    <xdr:pic>
      <xdr:nvPicPr>
        <xdr:cNvPr id="22" name="image174.jp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27</xdr:row>
      <xdr:rowOff>0</xdr:rowOff>
    </xdr:from>
    <xdr:ext cx="1266825" cy="1266825"/>
    <xdr:pic>
      <xdr:nvPicPr>
        <xdr:cNvPr id="23" name="image173.pn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1266825" cy="1266825"/>
    <xdr:pic>
      <xdr:nvPicPr>
        <xdr:cNvPr id="24" name="image181.pn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X1000"/>
  <sheetViews>
    <sheetView workbookViewId="0">
      <selection activeCell="H12" sqref="H12"/>
    </sheetView>
  </sheetViews>
  <sheetFormatPr defaultColWidth="14.453125" defaultRowHeight="15" customHeight="1" x14ac:dyDescent="0.35"/>
  <cols>
    <col min="1" max="1" width="4.453125" customWidth="1"/>
    <col min="5" max="5" width="8.453125" customWidth="1"/>
    <col min="7" max="18" width="7.7265625" customWidth="1"/>
    <col min="19" max="19" width="7.1796875" customWidth="1"/>
    <col min="20" max="20" width="9" customWidth="1"/>
    <col min="21" max="21" width="7.26953125" customWidth="1"/>
    <col min="22" max="22" width="7.1796875" customWidth="1"/>
    <col min="23" max="23" width="7.453125" customWidth="1"/>
  </cols>
  <sheetData>
    <row r="1" spans="2:24" ht="14.5" x14ac:dyDescent="0.35"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4" ht="36.5" thickBot="1" x14ac:dyDescent="0.85">
      <c r="B2" s="1030" t="s">
        <v>0</v>
      </c>
      <c r="C2" s="1031"/>
      <c r="D2" s="1031"/>
      <c r="E2" s="3"/>
      <c r="F2" s="4"/>
      <c r="G2" s="5" t="s">
        <v>1</v>
      </c>
      <c r="H2" s="6" t="s">
        <v>2</v>
      </c>
      <c r="I2" s="7" t="s">
        <v>3</v>
      </c>
      <c r="J2" s="8" t="s">
        <v>4</v>
      </c>
      <c r="K2" s="9" t="s">
        <v>5</v>
      </c>
      <c r="L2" s="10" t="s">
        <v>6</v>
      </c>
      <c r="M2" s="11" t="s">
        <v>7</v>
      </c>
      <c r="N2" s="12" t="s">
        <v>8</v>
      </c>
      <c r="O2" s="13" t="s">
        <v>9</v>
      </c>
      <c r="P2" s="14" t="s">
        <v>10</v>
      </c>
      <c r="Q2" s="15" t="s">
        <v>11</v>
      </c>
      <c r="R2" s="16" t="s">
        <v>12</v>
      </c>
      <c r="S2" s="17" t="s">
        <v>13</v>
      </c>
      <c r="T2" s="18" t="s">
        <v>14</v>
      </c>
      <c r="U2" s="3"/>
      <c r="V2" s="3"/>
      <c r="W2" s="3"/>
      <c r="X2" s="3"/>
    </row>
    <row r="3" spans="2:24" thickBot="1" x14ac:dyDescent="0.4">
      <c r="B3" s="19" t="s">
        <v>15</v>
      </c>
      <c r="C3" s="19" t="s">
        <v>16</v>
      </c>
      <c r="D3" s="19" t="s">
        <v>17</v>
      </c>
      <c r="E3" s="19" t="s">
        <v>18</v>
      </c>
      <c r="F3" s="20" t="s">
        <v>19</v>
      </c>
      <c r="G3" s="21">
        <v>2</v>
      </c>
      <c r="H3" s="22">
        <v>5</v>
      </c>
      <c r="I3" s="23">
        <v>7</v>
      </c>
      <c r="J3" s="24">
        <v>10</v>
      </c>
      <c r="K3" s="25">
        <v>11</v>
      </c>
      <c r="L3" s="26">
        <v>12</v>
      </c>
      <c r="M3" s="27">
        <v>13</v>
      </c>
      <c r="N3" s="28">
        <v>16</v>
      </c>
      <c r="O3" s="29">
        <v>27</v>
      </c>
      <c r="P3" s="30">
        <v>69</v>
      </c>
      <c r="Q3" s="31">
        <v>76</v>
      </c>
      <c r="R3" s="32">
        <v>77</v>
      </c>
      <c r="S3" s="33">
        <v>79</v>
      </c>
      <c r="T3" s="34">
        <v>81</v>
      </c>
      <c r="U3" s="35" t="s">
        <v>20</v>
      </c>
      <c r="V3" s="35" t="s">
        <v>21</v>
      </c>
      <c r="W3" s="36" t="s">
        <v>22</v>
      </c>
      <c r="X3" s="37" t="s">
        <v>23</v>
      </c>
    </row>
    <row r="4" spans="2:24" ht="14.5" x14ac:dyDescent="0.35">
      <c r="G4" s="3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4" ht="26" x14ac:dyDescent="0.6">
      <c r="B5" s="1032"/>
      <c r="C5" s="1033"/>
      <c r="D5" s="1033"/>
      <c r="E5" s="1033"/>
      <c r="F5" s="1034"/>
      <c r="G5" s="3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2:24" ht="14.5" x14ac:dyDescent="0.35">
      <c r="B6" s="39" t="s">
        <v>24</v>
      </c>
      <c r="C6" s="19"/>
      <c r="D6" s="40">
        <v>5</v>
      </c>
      <c r="E6" s="40"/>
      <c r="F6" s="41">
        <v>39</v>
      </c>
      <c r="G6" s="42"/>
      <c r="H6" s="43"/>
      <c r="I6" s="44"/>
      <c r="J6" s="45"/>
      <c r="K6" s="46"/>
      <c r="L6" s="47"/>
      <c r="M6" s="48"/>
      <c r="N6" s="49"/>
      <c r="O6" s="50"/>
      <c r="P6" s="51"/>
      <c r="Q6" s="52"/>
      <c r="R6" s="53"/>
      <c r="S6" s="54"/>
      <c r="T6" s="55"/>
      <c r="U6" s="56">
        <f t="shared" ref="U6:U7" si="0">SUM(G6:T6)</f>
        <v>0</v>
      </c>
      <c r="V6" s="57">
        <f>(G6+H6+I6+J6+K6+L6+M6+N6+P6+Q6+R6+S6+T6)*D6</f>
        <v>0</v>
      </c>
      <c r="W6" s="57">
        <f>1.345*U6</f>
        <v>0</v>
      </c>
      <c r="X6" s="58">
        <f t="shared" ref="X6:X7" si="1">U6*F6</f>
        <v>0</v>
      </c>
    </row>
    <row r="7" spans="2:24" ht="14.5" x14ac:dyDescent="0.35">
      <c r="B7" s="39" t="s">
        <v>25</v>
      </c>
      <c r="C7" s="19"/>
      <c r="D7" s="40">
        <v>4</v>
      </c>
      <c r="E7" s="40"/>
      <c r="F7" s="41">
        <v>69</v>
      </c>
      <c r="G7" s="42"/>
      <c r="H7" s="43"/>
      <c r="I7" s="44"/>
      <c r="J7" s="45"/>
      <c r="K7" s="46"/>
      <c r="L7" s="47"/>
      <c r="M7" s="48"/>
      <c r="N7" s="49"/>
      <c r="O7" s="50"/>
      <c r="P7" s="51"/>
      <c r="Q7" s="52"/>
      <c r="R7" s="53"/>
      <c r="S7" s="54"/>
      <c r="T7" s="59"/>
      <c r="U7" s="56">
        <f t="shared" si="0"/>
        <v>0</v>
      </c>
      <c r="V7" s="57">
        <f>(G7+H7+I7+J7+K7+L7+M7+N7+P7+Q7+R7+S7+T7)*D7</f>
        <v>0</v>
      </c>
      <c r="W7" s="57">
        <f>3.4*U7</f>
        <v>0</v>
      </c>
      <c r="X7" s="58">
        <f t="shared" si="1"/>
        <v>0</v>
      </c>
    </row>
    <row r="8" spans="2:24" ht="12" customHeight="1" x14ac:dyDescent="0.35">
      <c r="G8" s="60">
        <f t="shared" ref="G8:X8" si="2">SUM(G6:G7)</f>
        <v>0</v>
      </c>
      <c r="H8" s="61">
        <f t="shared" si="2"/>
        <v>0</v>
      </c>
      <c r="I8" s="62">
        <f t="shared" si="2"/>
        <v>0</v>
      </c>
      <c r="J8" s="63">
        <f t="shared" si="2"/>
        <v>0</v>
      </c>
      <c r="K8" s="64">
        <f t="shared" si="2"/>
        <v>0</v>
      </c>
      <c r="L8" s="65">
        <f t="shared" si="2"/>
        <v>0</v>
      </c>
      <c r="M8" s="66">
        <f t="shared" si="2"/>
        <v>0</v>
      </c>
      <c r="N8" s="67">
        <f t="shared" si="2"/>
        <v>0</v>
      </c>
      <c r="O8" s="68">
        <f t="shared" si="2"/>
        <v>0</v>
      </c>
      <c r="P8" s="69">
        <f t="shared" si="2"/>
        <v>0</v>
      </c>
      <c r="Q8" s="70">
        <f t="shared" si="2"/>
        <v>0</v>
      </c>
      <c r="R8" s="71">
        <f t="shared" si="2"/>
        <v>0</v>
      </c>
      <c r="S8" s="72">
        <f t="shared" si="2"/>
        <v>0</v>
      </c>
      <c r="T8" s="73">
        <f t="shared" si="2"/>
        <v>0</v>
      </c>
      <c r="U8" s="74">
        <f t="shared" si="2"/>
        <v>0</v>
      </c>
      <c r="V8" s="74">
        <f t="shared" si="2"/>
        <v>0</v>
      </c>
      <c r="W8" s="74">
        <f t="shared" si="2"/>
        <v>0</v>
      </c>
      <c r="X8" s="75">
        <f t="shared" si="2"/>
        <v>0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2:D2"/>
    <mergeCell ref="B5:F5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B1:X1001"/>
  <sheetViews>
    <sheetView workbookViewId="0">
      <pane ySplit="4" topLeftCell="A26" activePane="bottomLeft" state="frozen"/>
      <selection pane="bottomLeft" activeCell="F7" sqref="F7:F30"/>
    </sheetView>
  </sheetViews>
  <sheetFormatPr defaultColWidth="14.453125" defaultRowHeight="15" customHeight="1" x14ac:dyDescent="0.35"/>
  <cols>
    <col min="1" max="1" width="3" customWidth="1"/>
    <col min="2" max="2" width="13.26953125" customWidth="1"/>
    <col min="3" max="3" width="19.26953125" customWidth="1"/>
    <col min="4" max="4" width="8.26953125" customWidth="1"/>
    <col min="5" max="5" width="9.453125" customWidth="1"/>
    <col min="6" max="6" width="8.453125" customWidth="1"/>
    <col min="7" max="20" width="9.1796875" customWidth="1"/>
    <col min="21" max="21" width="5.1796875" customWidth="1"/>
    <col min="22" max="22" width="7" customWidth="1"/>
    <col min="23" max="23" width="8.1796875" customWidth="1"/>
    <col min="24" max="24" width="11.7265625" customWidth="1"/>
  </cols>
  <sheetData>
    <row r="1" spans="2:24" ht="14.5" x14ac:dyDescent="0.35">
      <c r="F1" s="1"/>
    </row>
    <row r="2" spans="2:24" ht="14.5" x14ac:dyDescent="0.35">
      <c r="B2" s="1052" t="s">
        <v>336</v>
      </c>
      <c r="C2" s="1042"/>
      <c r="D2" s="1042"/>
      <c r="E2" s="1042"/>
      <c r="F2" s="1"/>
    </row>
    <row r="3" spans="2:24" ht="34.5" customHeight="1" thickBot="1" x14ac:dyDescent="0.4">
      <c r="B3" s="1042"/>
      <c r="C3" s="1042"/>
      <c r="D3" s="1042"/>
      <c r="E3" s="1042"/>
      <c r="F3" s="1"/>
      <c r="G3" s="77" t="s">
        <v>27</v>
      </c>
      <c r="H3" s="78" t="s">
        <v>2</v>
      </c>
      <c r="I3" s="135" t="s">
        <v>3</v>
      </c>
      <c r="J3" s="80" t="s">
        <v>4</v>
      </c>
      <c r="K3" s="136" t="s">
        <v>5</v>
      </c>
      <c r="L3" s="82" t="s">
        <v>6</v>
      </c>
      <c r="M3" s="83" t="s">
        <v>7</v>
      </c>
      <c r="N3" s="84" t="s">
        <v>8</v>
      </c>
      <c r="O3" s="85" t="s">
        <v>9</v>
      </c>
      <c r="P3" s="86" t="s">
        <v>10</v>
      </c>
      <c r="Q3" s="87" t="s">
        <v>11</v>
      </c>
      <c r="R3" s="88" t="s">
        <v>12</v>
      </c>
      <c r="S3" s="89" t="s">
        <v>13</v>
      </c>
      <c r="T3" s="90" t="s">
        <v>14</v>
      </c>
    </row>
    <row r="4" spans="2:24" thickBot="1" x14ac:dyDescent="0.4">
      <c r="B4" s="92" t="s">
        <v>15</v>
      </c>
      <c r="C4" s="93" t="s">
        <v>258</v>
      </c>
      <c r="D4" s="94" t="s">
        <v>17</v>
      </c>
      <c r="E4" s="94" t="s">
        <v>18</v>
      </c>
      <c r="F4" s="95" t="s">
        <v>19</v>
      </c>
      <c r="G4" s="378">
        <v>2</v>
      </c>
      <c r="H4" s="379">
        <v>5</v>
      </c>
      <c r="I4" s="380">
        <v>7</v>
      </c>
      <c r="J4" s="381">
        <v>10</v>
      </c>
      <c r="K4" s="382">
        <v>11</v>
      </c>
      <c r="L4" s="383">
        <v>12</v>
      </c>
      <c r="M4" s="384">
        <v>13</v>
      </c>
      <c r="N4" s="385">
        <v>16</v>
      </c>
      <c r="O4" s="386">
        <v>27</v>
      </c>
      <c r="P4" s="387">
        <v>69</v>
      </c>
      <c r="Q4" s="388">
        <v>76</v>
      </c>
      <c r="R4" s="389">
        <v>77</v>
      </c>
      <c r="S4" s="231">
        <v>79</v>
      </c>
      <c r="T4" s="390">
        <v>81</v>
      </c>
      <c r="U4" s="108" t="s">
        <v>20</v>
      </c>
      <c r="V4" s="108" t="s">
        <v>21</v>
      </c>
      <c r="W4" s="108" t="s">
        <v>22</v>
      </c>
      <c r="X4" s="110" t="s">
        <v>28</v>
      </c>
    </row>
    <row r="5" spans="2:24" thickBot="1" x14ac:dyDescent="0.4">
      <c r="B5" s="440"/>
      <c r="C5" s="440"/>
      <c r="D5" s="440"/>
      <c r="E5" s="440"/>
      <c r="F5" s="441"/>
      <c r="G5" s="442"/>
      <c r="H5" s="442"/>
      <c r="I5" s="442"/>
      <c r="J5" s="443"/>
      <c r="K5" s="442"/>
      <c r="L5" s="442"/>
      <c r="M5" s="442"/>
      <c r="N5" s="442"/>
      <c r="O5" s="442"/>
      <c r="P5" s="442"/>
      <c r="Q5" s="442"/>
      <c r="R5" s="442"/>
      <c r="S5" s="442"/>
      <c r="T5" s="443"/>
      <c r="U5" s="442"/>
      <c r="V5" s="442"/>
      <c r="W5" s="442"/>
      <c r="X5" s="444"/>
    </row>
    <row r="6" spans="2:24" ht="50.25" customHeight="1" x14ac:dyDescent="0.35">
      <c r="B6" s="1044" t="s">
        <v>997</v>
      </c>
      <c r="C6" s="1044"/>
      <c r="D6" s="890">
        <f>SUM(D7:D29)</f>
        <v>148</v>
      </c>
      <c r="E6" s="926" t="s">
        <v>988</v>
      </c>
      <c r="F6" s="931">
        <f>SUM(F7:F29)*0.95</f>
        <v>3186.9744999999994</v>
      </c>
      <c r="G6" s="146"/>
      <c r="H6" s="147"/>
      <c r="I6" s="148"/>
      <c r="J6" s="149"/>
      <c r="K6" s="445"/>
      <c r="L6" s="151"/>
      <c r="M6" s="152"/>
      <c r="N6" s="153"/>
      <c r="O6" s="154"/>
      <c r="P6" s="155"/>
      <c r="Q6" s="156"/>
      <c r="R6" s="157"/>
      <c r="S6" s="158"/>
      <c r="T6" s="159"/>
      <c r="U6" s="160">
        <f t="shared" ref="U6" si="0">SUM(G6:T6)</f>
        <v>0</v>
      </c>
      <c r="V6" s="160">
        <f t="shared" ref="V6:V29" si="1">D6*U6</f>
        <v>0</v>
      </c>
      <c r="W6" s="160">
        <f>U6*0.28</f>
        <v>0</v>
      </c>
      <c r="X6" s="161">
        <f t="shared" ref="X6" si="2">F6*U6</f>
        <v>0</v>
      </c>
    </row>
    <row r="7" spans="2:24" ht="99.75" customHeight="1" x14ac:dyDescent="0.35">
      <c r="B7" s="163" t="s">
        <v>337</v>
      </c>
      <c r="C7" s="143"/>
      <c r="D7" s="144">
        <v>15</v>
      </c>
      <c r="E7" s="144" t="s">
        <v>338</v>
      </c>
      <c r="F7" s="884">
        <v>62.83</v>
      </c>
      <c r="G7" s="146"/>
      <c r="H7" s="147"/>
      <c r="I7" s="148"/>
      <c r="J7" s="149"/>
      <c r="K7" s="445"/>
      <c r="L7" s="151"/>
      <c r="M7" s="152"/>
      <c r="N7" s="153"/>
      <c r="O7" s="154"/>
      <c r="P7" s="155"/>
      <c r="Q7" s="156"/>
      <c r="R7" s="157"/>
      <c r="S7" s="158"/>
      <c r="T7" s="159"/>
      <c r="U7" s="160">
        <f t="shared" ref="U7:U29" si="3">SUM(G7:T7)</f>
        <v>0</v>
      </c>
      <c r="V7" s="160">
        <f t="shared" si="1"/>
        <v>0</v>
      </c>
      <c r="W7" s="160">
        <f>U7*0.28</f>
        <v>0</v>
      </c>
      <c r="X7" s="161">
        <f t="shared" ref="X7:X8" si="4">F7*U7</f>
        <v>0</v>
      </c>
    </row>
    <row r="8" spans="2:24" ht="99.75" customHeight="1" x14ac:dyDescent="0.35">
      <c r="B8" s="163" t="s">
        <v>83</v>
      </c>
      <c r="C8" s="143"/>
      <c r="D8" s="144">
        <v>10</v>
      </c>
      <c r="E8" s="144" t="s">
        <v>339</v>
      </c>
      <c r="F8" s="884">
        <v>74.16</v>
      </c>
      <c r="G8" s="146"/>
      <c r="H8" s="147"/>
      <c r="I8" s="148"/>
      <c r="J8" s="149"/>
      <c r="K8" s="445"/>
      <c r="L8" s="151"/>
      <c r="M8" s="152"/>
      <c r="N8" s="153"/>
      <c r="O8" s="154"/>
      <c r="P8" s="155"/>
      <c r="Q8" s="156"/>
      <c r="R8" s="157"/>
      <c r="S8" s="158"/>
      <c r="T8" s="159"/>
      <c r="U8" s="160">
        <f t="shared" si="3"/>
        <v>0</v>
      </c>
      <c r="V8" s="160">
        <f t="shared" si="1"/>
        <v>0</v>
      </c>
      <c r="W8" s="160">
        <f>U8*0.77</f>
        <v>0</v>
      </c>
      <c r="X8" s="161">
        <f t="shared" si="4"/>
        <v>0</v>
      </c>
    </row>
    <row r="9" spans="2:24" ht="99.75" customHeight="1" x14ac:dyDescent="0.35">
      <c r="B9" s="163" t="s">
        <v>340</v>
      </c>
      <c r="C9" s="143"/>
      <c r="D9" s="144">
        <v>5</v>
      </c>
      <c r="E9" s="144" t="s">
        <v>341</v>
      </c>
      <c r="F9" s="884">
        <v>49.44</v>
      </c>
      <c r="G9" s="146"/>
      <c r="H9" s="147"/>
      <c r="I9" s="148"/>
      <c r="J9" s="149"/>
      <c r="K9" s="445"/>
      <c r="L9" s="151"/>
      <c r="M9" s="152"/>
      <c r="N9" s="153"/>
      <c r="O9" s="154"/>
      <c r="P9" s="155"/>
      <c r="Q9" s="156"/>
      <c r="R9" s="157"/>
      <c r="S9" s="158"/>
      <c r="T9" s="159"/>
      <c r="U9" s="160">
        <f t="shared" si="3"/>
        <v>0</v>
      </c>
      <c r="V9" s="160">
        <f t="shared" si="1"/>
        <v>0</v>
      </c>
      <c r="W9" s="160">
        <f>U9*0.6</f>
        <v>0</v>
      </c>
      <c r="X9" s="161">
        <f t="shared" ref="X9:X10" si="5">U9*F9</f>
        <v>0</v>
      </c>
    </row>
    <row r="10" spans="2:24" ht="99.75" customHeight="1" x14ac:dyDescent="0.35">
      <c r="B10" s="142" t="s">
        <v>342</v>
      </c>
      <c r="C10" s="143"/>
      <c r="D10" s="144">
        <v>10</v>
      </c>
      <c r="E10" s="144" t="s">
        <v>343</v>
      </c>
      <c r="F10" s="884">
        <v>43.26</v>
      </c>
      <c r="G10" s="146"/>
      <c r="H10" s="147"/>
      <c r="I10" s="148"/>
      <c r="J10" s="149"/>
      <c r="K10" s="445"/>
      <c r="L10" s="151"/>
      <c r="M10" s="152"/>
      <c r="N10" s="153"/>
      <c r="O10" s="154"/>
      <c r="P10" s="155"/>
      <c r="Q10" s="156"/>
      <c r="R10" s="157"/>
      <c r="S10" s="158"/>
      <c r="T10" s="159"/>
      <c r="U10" s="160">
        <f t="shared" si="3"/>
        <v>0</v>
      </c>
      <c r="V10" s="160">
        <f t="shared" si="1"/>
        <v>0</v>
      </c>
      <c r="W10" s="160">
        <f>U10*0.2</f>
        <v>0</v>
      </c>
      <c r="X10" s="161">
        <f t="shared" si="5"/>
        <v>0</v>
      </c>
    </row>
    <row r="11" spans="2:24" ht="99.75" customHeight="1" x14ac:dyDescent="0.35">
      <c r="B11" s="163" t="s">
        <v>344</v>
      </c>
      <c r="C11" s="143"/>
      <c r="D11" s="144">
        <v>5</v>
      </c>
      <c r="E11" s="144" t="s">
        <v>345</v>
      </c>
      <c r="F11" s="884">
        <v>27.810000000000002</v>
      </c>
      <c r="G11" s="146"/>
      <c r="H11" s="147"/>
      <c r="I11" s="148"/>
      <c r="J11" s="149"/>
      <c r="K11" s="445"/>
      <c r="L11" s="151"/>
      <c r="M11" s="152"/>
      <c r="N11" s="153"/>
      <c r="O11" s="154"/>
      <c r="P11" s="155"/>
      <c r="Q11" s="156"/>
      <c r="R11" s="157"/>
      <c r="S11" s="158"/>
      <c r="T11" s="159"/>
      <c r="U11" s="160">
        <f t="shared" si="3"/>
        <v>0</v>
      </c>
      <c r="V11" s="160">
        <f t="shared" si="1"/>
        <v>0</v>
      </c>
      <c r="W11" s="160">
        <f>U11*0.15</f>
        <v>0</v>
      </c>
      <c r="X11" s="161">
        <f t="shared" ref="X11:X29" si="6">F11*U11</f>
        <v>0</v>
      </c>
    </row>
    <row r="12" spans="2:24" ht="99.75" customHeight="1" x14ac:dyDescent="0.35">
      <c r="B12" s="163" t="s">
        <v>346</v>
      </c>
      <c r="C12" s="143"/>
      <c r="D12" s="144">
        <v>5</v>
      </c>
      <c r="E12" s="144" t="s">
        <v>347</v>
      </c>
      <c r="F12" s="884">
        <v>31.93</v>
      </c>
      <c r="G12" s="146"/>
      <c r="H12" s="147"/>
      <c r="I12" s="148"/>
      <c r="J12" s="149"/>
      <c r="K12" s="445"/>
      <c r="L12" s="151"/>
      <c r="M12" s="152"/>
      <c r="N12" s="153"/>
      <c r="O12" s="154"/>
      <c r="P12" s="155"/>
      <c r="Q12" s="156"/>
      <c r="R12" s="157"/>
      <c r="S12" s="158"/>
      <c r="T12" s="159"/>
      <c r="U12" s="160">
        <f t="shared" si="3"/>
        <v>0</v>
      </c>
      <c r="V12" s="160">
        <f t="shared" si="1"/>
        <v>0</v>
      </c>
      <c r="W12" s="160">
        <f t="shared" ref="W12:W13" si="7">U12*0.6</f>
        <v>0</v>
      </c>
      <c r="X12" s="161">
        <f t="shared" si="6"/>
        <v>0</v>
      </c>
    </row>
    <row r="13" spans="2:24" ht="99.75" customHeight="1" x14ac:dyDescent="0.35">
      <c r="B13" s="265" t="s">
        <v>348</v>
      </c>
      <c r="C13" s="165"/>
      <c r="D13" s="113">
        <v>10</v>
      </c>
      <c r="E13" s="113" t="s">
        <v>349</v>
      </c>
      <c r="F13" s="884">
        <v>63.86</v>
      </c>
      <c r="G13" s="115"/>
      <c r="H13" s="116"/>
      <c r="I13" s="139"/>
      <c r="J13" s="132"/>
      <c r="K13" s="414"/>
      <c r="L13" s="120"/>
      <c r="M13" s="121"/>
      <c r="N13" s="122"/>
      <c r="O13" s="123"/>
      <c r="P13" s="124"/>
      <c r="Q13" s="125"/>
      <c r="R13" s="126"/>
      <c r="S13" s="127"/>
      <c r="T13" s="128"/>
      <c r="U13" s="160">
        <f t="shared" si="3"/>
        <v>0</v>
      </c>
      <c r="V13" s="160">
        <f t="shared" si="1"/>
        <v>0</v>
      </c>
      <c r="W13" s="129">
        <f t="shared" si="7"/>
        <v>0</v>
      </c>
      <c r="X13" s="166">
        <f t="shared" si="6"/>
        <v>0</v>
      </c>
    </row>
    <row r="14" spans="2:24" ht="99.75" customHeight="1" x14ac:dyDescent="0.35">
      <c r="B14" s="164" t="s">
        <v>350</v>
      </c>
      <c r="C14" s="165"/>
      <c r="D14" s="113">
        <v>5</v>
      </c>
      <c r="E14" s="113" t="s">
        <v>351</v>
      </c>
      <c r="F14" s="884">
        <v>92.7</v>
      </c>
      <c r="G14" s="115"/>
      <c r="H14" s="116"/>
      <c r="I14" s="139"/>
      <c r="J14" s="132"/>
      <c r="K14" s="414"/>
      <c r="L14" s="120"/>
      <c r="M14" s="121"/>
      <c r="N14" s="122"/>
      <c r="O14" s="123"/>
      <c r="P14" s="124"/>
      <c r="Q14" s="125"/>
      <c r="R14" s="126"/>
      <c r="S14" s="127"/>
      <c r="T14" s="128"/>
      <c r="U14" s="160">
        <f t="shared" si="3"/>
        <v>0</v>
      </c>
      <c r="V14" s="160">
        <f t="shared" si="1"/>
        <v>0</v>
      </c>
      <c r="W14" s="129">
        <f>U14*1.5</f>
        <v>0</v>
      </c>
      <c r="X14" s="166">
        <f t="shared" si="6"/>
        <v>0</v>
      </c>
    </row>
    <row r="15" spans="2:24" ht="99.75" customHeight="1" x14ac:dyDescent="0.35">
      <c r="B15" s="265" t="s">
        <v>352</v>
      </c>
      <c r="C15" s="165"/>
      <c r="D15" s="113">
        <v>10</v>
      </c>
      <c r="E15" s="113" t="s">
        <v>353</v>
      </c>
      <c r="F15" s="884">
        <v>90.64</v>
      </c>
      <c r="G15" s="115"/>
      <c r="H15" s="116"/>
      <c r="I15" s="139"/>
      <c r="J15" s="132"/>
      <c r="K15" s="414"/>
      <c r="L15" s="120"/>
      <c r="M15" s="121"/>
      <c r="N15" s="122"/>
      <c r="O15" s="123"/>
      <c r="P15" s="124"/>
      <c r="Q15" s="125"/>
      <c r="R15" s="126"/>
      <c r="S15" s="127"/>
      <c r="T15" s="128"/>
      <c r="U15" s="160">
        <f t="shared" si="3"/>
        <v>0</v>
      </c>
      <c r="V15" s="160">
        <f t="shared" si="1"/>
        <v>0</v>
      </c>
      <c r="W15" s="129">
        <f>U15*1.15</f>
        <v>0</v>
      </c>
      <c r="X15" s="166">
        <f t="shared" si="6"/>
        <v>0</v>
      </c>
    </row>
    <row r="16" spans="2:24" ht="99.75" customHeight="1" x14ac:dyDescent="0.35">
      <c r="B16" s="164" t="s">
        <v>354</v>
      </c>
      <c r="C16" s="165"/>
      <c r="D16" s="113">
        <v>5</v>
      </c>
      <c r="E16" s="113" t="s">
        <v>355</v>
      </c>
      <c r="F16" s="884">
        <v>42.230000000000004</v>
      </c>
      <c r="G16" s="115"/>
      <c r="H16" s="116"/>
      <c r="I16" s="139"/>
      <c r="J16" s="132"/>
      <c r="K16" s="414"/>
      <c r="L16" s="120"/>
      <c r="M16" s="121"/>
      <c r="N16" s="122"/>
      <c r="O16" s="123"/>
      <c r="P16" s="124"/>
      <c r="Q16" s="125"/>
      <c r="R16" s="126"/>
      <c r="S16" s="127"/>
      <c r="T16" s="128"/>
      <c r="U16" s="160">
        <f t="shared" si="3"/>
        <v>0</v>
      </c>
      <c r="V16" s="160">
        <f t="shared" si="1"/>
        <v>0</v>
      </c>
      <c r="W16" s="129">
        <f>U16*0.45</f>
        <v>0</v>
      </c>
      <c r="X16" s="166">
        <f t="shared" si="6"/>
        <v>0</v>
      </c>
    </row>
    <row r="17" spans="2:24" ht="99.75" customHeight="1" x14ac:dyDescent="0.35">
      <c r="B17" s="164" t="s">
        <v>356</v>
      </c>
      <c r="C17" s="165"/>
      <c r="D17" s="113">
        <v>5</v>
      </c>
      <c r="E17" s="113" t="s">
        <v>357</v>
      </c>
      <c r="F17" s="884">
        <v>103</v>
      </c>
      <c r="G17" s="115"/>
      <c r="H17" s="116"/>
      <c r="I17" s="139"/>
      <c r="J17" s="132"/>
      <c r="K17" s="414"/>
      <c r="L17" s="120"/>
      <c r="M17" s="121"/>
      <c r="N17" s="122"/>
      <c r="O17" s="123"/>
      <c r="P17" s="124"/>
      <c r="Q17" s="125"/>
      <c r="R17" s="126"/>
      <c r="S17" s="127"/>
      <c r="T17" s="128"/>
      <c r="U17" s="160">
        <f t="shared" si="3"/>
        <v>0</v>
      </c>
      <c r="V17" s="160">
        <f t="shared" si="1"/>
        <v>0</v>
      </c>
      <c r="W17" s="129">
        <f>U17*1.7</f>
        <v>0</v>
      </c>
      <c r="X17" s="166">
        <f t="shared" si="6"/>
        <v>0</v>
      </c>
    </row>
    <row r="18" spans="2:24" ht="99.75" customHeight="1" x14ac:dyDescent="0.35">
      <c r="B18" s="265" t="s">
        <v>358</v>
      </c>
      <c r="C18" s="165"/>
      <c r="D18" s="113">
        <v>10</v>
      </c>
      <c r="E18" s="113" t="s">
        <v>359</v>
      </c>
      <c r="F18" s="884">
        <v>138.02000000000001</v>
      </c>
      <c r="G18" s="115"/>
      <c r="H18" s="116"/>
      <c r="I18" s="139"/>
      <c r="J18" s="132"/>
      <c r="K18" s="414"/>
      <c r="L18" s="120"/>
      <c r="M18" s="121"/>
      <c r="N18" s="122"/>
      <c r="O18" s="123"/>
      <c r="P18" s="124"/>
      <c r="Q18" s="125"/>
      <c r="R18" s="126"/>
      <c r="S18" s="127"/>
      <c r="T18" s="128"/>
      <c r="U18" s="160">
        <f t="shared" si="3"/>
        <v>0</v>
      </c>
      <c r="V18" s="160">
        <f t="shared" si="1"/>
        <v>0</v>
      </c>
      <c r="W18" s="129">
        <f>U18*2.14</f>
        <v>0</v>
      </c>
      <c r="X18" s="166">
        <f t="shared" si="6"/>
        <v>0</v>
      </c>
    </row>
    <row r="19" spans="2:24" ht="99.75" customHeight="1" x14ac:dyDescent="0.35">
      <c r="B19" s="265" t="s">
        <v>360</v>
      </c>
      <c r="C19" s="165"/>
      <c r="D19" s="113">
        <v>5</v>
      </c>
      <c r="E19" s="113" t="s">
        <v>361</v>
      </c>
      <c r="F19" s="884">
        <v>72.100000000000009</v>
      </c>
      <c r="G19" s="115"/>
      <c r="H19" s="116"/>
      <c r="I19" s="139"/>
      <c r="J19" s="132"/>
      <c r="K19" s="140"/>
      <c r="L19" s="120"/>
      <c r="M19" s="121"/>
      <c r="N19" s="122"/>
      <c r="O19" s="123"/>
      <c r="P19" s="124"/>
      <c r="Q19" s="125"/>
      <c r="R19" s="126"/>
      <c r="S19" s="127"/>
      <c r="T19" s="128"/>
      <c r="U19" s="160">
        <f t="shared" si="3"/>
        <v>0</v>
      </c>
      <c r="V19" s="160">
        <f t="shared" si="1"/>
        <v>0</v>
      </c>
      <c r="W19" s="129">
        <f>U19*1.1</f>
        <v>0</v>
      </c>
      <c r="X19" s="166">
        <f t="shared" si="6"/>
        <v>0</v>
      </c>
    </row>
    <row r="20" spans="2:24" ht="99.75" customHeight="1" x14ac:dyDescent="0.35">
      <c r="B20" s="265" t="s">
        <v>362</v>
      </c>
      <c r="C20" s="165"/>
      <c r="D20" s="113">
        <v>10</v>
      </c>
      <c r="E20" s="113" t="s">
        <v>363</v>
      </c>
      <c r="F20" s="884">
        <v>202.91</v>
      </c>
      <c r="G20" s="115"/>
      <c r="H20" s="116"/>
      <c r="I20" s="139"/>
      <c r="J20" s="132"/>
      <c r="K20" s="140"/>
      <c r="L20" s="120"/>
      <c r="M20" s="121"/>
      <c r="N20" s="122"/>
      <c r="O20" s="123"/>
      <c r="P20" s="124"/>
      <c r="Q20" s="125"/>
      <c r="R20" s="126"/>
      <c r="S20" s="127"/>
      <c r="T20" s="128"/>
      <c r="U20" s="160">
        <f t="shared" si="3"/>
        <v>0</v>
      </c>
      <c r="V20" s="160">
        <f t="shared" si="1"/>
        <v>0</v>
      </c>
      <c r="W20" s="129">
        <f>U20*3.46</f>
        <v>0</v>
      </c>
      <c r="X20" s="166">
        <f t="shared" si="6"/>
        <v>0</v>
      </c>
    </row>
    <row r="21" spans="2:24" ht="99.75" customHeight="1" x14ac:dyDescent="0.35">
      <c r="B21" s="164" t="s">
        <v>364</v>
      </c>
      <c r="C21" s="165"/>
      <c r="D21" s="113">
        <v>5</v>
      </c>
      <c r="E21" s="113" t="s">
        <v>365</v>
      </c>
      <c r="F21" s="884">
        <v>126.69</v>
      </c>
      <c r="G21" s="115"/>
      <c r="H21" s="116"/>
      <c r="I21" s="139"/>
      <c r="J21" s="132"/>
      <c r="K21" s="140"/>
      <c r="L21" s="120"/>
      <c r="M21" s="121"/>
      <c r="N21" s="122"/>
      <c r="O21" s="123"/>
      <c r="P21" s="124"/>
      <c r="Q21" s="125"/>
      <c r="R21" s="126"/>
      <c r="S21" s="127"/>
      <c r="T21" s="128"/>
      <c r="U21" s="160">
        <f t="shared" si="3"/>
        <v>0</v>
      </c>
      <c r="V21" s="160">
        <f t="shared" si="1"/>
        <v>0</v>
      </c>
      <c r="W21" s="129">
        <f>U21*2.18</f>
        <v>0</v>
      </c>
      <c r="X21" s="166">
        <f t="shared" si="6"/>
        <v>0</v>
      </c>
    </row>
    <row r="22" spans="2:24" ht="99.75" customHeight="1" x14ac:dyDescent="0.35">
      <c r="B22" s="265" t="s">
        <v>366</v>
      </c>
      <c r="C22" s="165"/>
      <c r="D22" s="113">
        <v>10</v>
      </c>
      <c r="E22" s="113" t="s">
        <v>367</v>
      </c>
      <c r="F22" s="884">
        <v>268.83</v>
      </c>
      <c r="G22" s="115"/>
      <c r="H22" s="116"/>
      <c r="I22" s="139"/>
      <c r="J22" s="132"/>
      <c r="K22" s="140"/>
      <c r="L22" s="120"/>
      <c r="M22" s="121"/>
      <c r="N22" s="122"/>
      <c r="O22" s="123"/>
      <c r="P22" s="124"/>
      <c r="Q22" s="125"/>
      <c r="R22" s="126"/>
      <c r="S22" s="127"/>
      <c r="T22" s="128"/>
      <c r="U22" s="160">
        <f t="shared" si="3"/>
        <v>0</v>
      </c>
      <c r="V22" s="160">
        <f t="shared" si="1"/>
        <v>0</v>
      </c>
      <c r="W22" s="129">
        <f>U22*2.46</f>
        <v>0</v>
      </c>
      <c r="X22" s="166">
        <f t="shared" si="6"/>
        <v>0</v>
      </c>
    </row>
    <row r="23" spans="2:24" ht="99.75" customHeight="1" x14ac:dyDescent="0.35">
      <c r="B23" s="265" t="s">
        <v>368</v>
      </c>
      <c r="C23" s="165"/>
      <c r="D23" s="113">
        <v>5</v>
      </c>
      <c r="E23" s="113" t="s">
        <v>369</v>
      </c>
      <c r="F23" s="884">
        <v>244.11</v>
      </c>
      <c r="G23" s="115"/>
      <c r="H23" s="116"/>
      <c r="I23" s="139"/>
      <c r="J23" s="132"/>
      <c r="K23" s="140"/>
      <c r="L23" s="120"/>
      <c r="M23" s="121"/>
      <c r="N23" s="122"/>
      <c r="O23" s="123"/>
      <c r="P23" s="124"/>
      <c r="Q23" s="125"/>
      <c r="R23" s="126"/>
      <c r="S23" s="127"/>
      <c r="T23" s="128"/>
      <c r="U23" s="160">
        <f t="shared" si="3"/>
        <v>0</v>
      </c>
      <c r="V23" s="160">
        <f t="shared" si="1"/>
        <v>0</v>
      </c>
      <c r="W23" s="129">
        <f>U23*3.08</f>
        <v>0</v>
      </c>
      <c r="X23" s="166">
        <f t="shared" si="6"/>
        <v>0</v>
      </c>
    </row>
    <row r="24" spans="2:24" ht="99.75" customHeight="1" x14ac:dyDescent="0.35">
      <c r="B24" s="265" t="s">
        <v>370</v>
      </c>
      <c r="C24" s="165"/>
      <c r="D24" s="113">
        <v>5</v>
      </c>
      <c r="E24" s="113" t="s">
        <v>371</v>
      </c>
      <c r="F24" s="884">
        <v>232.78</v>
      </c>
      <c r="G24" s="115"/>
      <c r="H24" s="116"/>
      <c r="I24" s="139"/>
      <c r="J24" s="132"/>
      <c r="K24" s="140"/>
      <c r="L24" s="120"/>
      <c r="M24" s="121"/>
      <c r="N24" s="122"/>
      <c r="O24" s="123"/>
      <c r="P24" s="124"/>
      <c r="Q24" s="125"/>
      <c r="R24" s="126"/>
      <c r="S24" s="127"/>
      <c r="T24" s="128"/>
      <c r="U24" s="160">
        <f t="shared" si="3"/>
        <v>0</v>
      </c>
      <c r="V24" s="160">
        <f t="shared" si="1"/>
        <v>0</v>
      </c>
      <c r="W24" s="129">
        <f>U24*2.9</f>
        <v>0</v>
      </c>
      <c r="X24" s="166">
        <f t="shared" si="6"/>
        <v>0</v>
      </c>
    </row>
    <row r="25" spans="2:24" ht="99.75" customHeight="1" x14ac:dyDescent="0.35">
      <c r="B25" s="265" t="s">
        <v>372</v>
      </c>
      <c r="C25" s="165"/>
      <c r="D25" s="113">
        <v>5</v>
      </c>
      <c r="E25" s="113" t="s">
        <v>373</v>
      </c>
      <c r="F25" s="884">
        <v>402.73</v>
      </c>
      <c r="G25" s="115"/>
      <c r="H25" s="116"/>
      <c r="I25" s="139"/>
      <c r="J25" s="132"/>
      <c r="K25" s="140"/>
      <c r="L25" s="120"/>
      <c r="M25" s="121"/>
      <c r="N25" s="122"/>
      <c r="O25" s="123"/>
      <c r="P25" s="124"/>
      <c r="Q25" s="125"/>
      <c r="R25" s="126"/>
      <c r="S25" s="127"/>
      <c r="T25" s="128"/>
      <c r="U25" s="160">
        <f t="shared" si="3"/>
        <v>0</v>
      </c>
      <c r="V25" s="160">
        <f t="shared" si="1"/>
        <v>0</v>
      </c>
      <c r="W25" s="129">
        <f>U25*5.85</f>
        <v>0</v>
      </c>
      <c r="X25" s="166">
        <f t="shared" si="6"/>
        <v>0</v>
      </c>
    </row>
    <row r="26" spans="2:24" ht="99.75" customHeight="1" x14ac:dyDescent="0.35">
      <c r="B26" s="265" t="s">
        <v>374</v>
      </c>
      <c r="C26" s="165"/>
      <c r="D26" s="113">
        <v>2</v>
      </c>
      <c r="E26" s="113" t="s">
        <v>375</v>
      </c>
      <c r="F26" s="884">
        <v>219.39000000000001</v>
      </c>
      <c r="G26" s="115"/>
      <c r="H26" s="116"/>
      <c r="I26" s="139"/>
      <c r="J26" s="132"/>
      <c r="K26" s="140"/>
      <c r="L26" s="120"/>
      <c r="M26" s="121"/>
      <c r="N26" s="122"/>
      <c r="O26" s="123"/>
      <c r="P26" s="124"/>
      <c r="Q26" s="125"/>
      <c r="R26" s="126"/>
      <c r="S26" s="127"/>
      <c r="T26" s="128"/>
      <c r="U26" s="160">
        <f t="shared" si="3"/>
        <v>0</v>
      </c>
      <c r="V26" s="160">
        <f t="shared" si="1"/>
        <v>0</v>
      </c>
      <c r="W26" s="129">
        <f>U26*3.31</f>
        <v>0</v>
      </c>
      <c r="X26" s="166">
        <f t="shared" si="6"/>
        <v>0</v>
      </c>
    </row>
    <row r="27" spans="2:24" ht="99.75" customHeight="1" x14ac:dyDescent="0.35">
      <c r="B27" s="265" t="s">
        <v>376</v>
      </c>
      <c r="C27" s="165"/>
      <c r="D27" s="113">
        <v>2</v>
      </c>
      <c r="E27" s="113" t="s">
        <v>377</v>
      </c>
      <c r="F27" s="884">
        <v>283.25</v>
      </c>
      <c r="G27" s="115"/>
      <c r="H27" s="116"/>
      <c r="I27" s="139"/>
      <c r="J27" s="132"/>
      <c r="K27" s="140"/>
      <c r="L27" s="120"/>
      <c r="M27" s="121"/>
      <c r="N27" s="122"/>
      <c r="O27" s="123"/>
      <c r="P27" s="124"/>
      <c r="Q27" s="125"/>
      <c r="R27" s="126"/>
      <c r="S27" s="127"/>
      <c r="T27" s="128"/>
      <c r="U27" s="160">
        <f t="shared" si="3"/>
        <v>0</v>
      </c>
      <c r="V27" s="160">
        <f t="shared" si="1"/>
        <v>0</v>
      </c>
      <c r="W27" s="129">
        <f>U27*4.27</f>
        <v>0</v>
      </c>
      <c r="X27" s="166">
        <f t="shared" si="6"/>
        <v>0</v>
      </c>
    </row>
    <row r="28" spans="2:24" ht="99.75" customHeight="1" x14ac:dyDescent="0.35">
      <c r="B28" s="265" t="s">
        <v>378</v>
      </c>
      <c r="C28" s="165"/>
      <c r="D28" s="113">
        <v>2</v>
      </c>
      <c r="E28" s="113" t="s">
        <v>379</v>
      </c>
      <c r="F28" s="884">
        <v>272.95</v>
      </c>
      <c r="G28" s="115"/>
      <c r="H28" s="116"/>
      <c r="I28" s="139"/>
      <c r="J28" s="132"/>
      <c r="K28" s="140"/>
      <c r="L28" s="120"/>
      <c r="M28" s="121"/>
      <c r="N28" s="122"/>
      <c r="O28" s="123"/>
      <c r="P28" s="124"/>
      <c r="Q28" s="125"/>
      <c r="R28" s="126"/>
      <c r="S28" s="127"/>
      <c r="T28" s="128"/>
      <c r="U28" s="160">
        <f t="shared" si="3"/>
        <v>0</v>
      </c>
      <c r="V28" s="160">
        <f t="shared" si="1"/>
        <v>0</v>
      </c>
      <c r="W28" s="129">
        <f>U28*4.24</f>
        <v>0</v>
      </c>
      <c r="X28" s="166">
        <f t="shared" si="6"/>
        <v>0</v>
      </c>
    </row>
    <row r="29" spans="2:24" ht="99.75" customHeight="1" thickBot="1" x14ac:dyDescent="0.4">
      <c r="B29" s="266" t="s">
        <v>380</v>
      </c>
      <c r="C29" s="267"/>
      <c r="D29" s="17">
        <v>2</v>
      </c>
      <c r="E29" s="17" t="s">
        <v>381</v>
      </c>
      <c r="F29" s="884">
        <v>209.09</v>
      </c>
      <c r="G29" s="418"/>
      <c r="H29" s="419"/>
      <c r="I29" s="420"/>
      <c r="J29" s="421"/>
      <c r="K29" s="422"/>
      <c r="L29" s="423"/>
      <c r="M29" s="424"/>
      <c r="N29" s="425"/>
      <c r="O29" s="426"/>
      <c r="P29" s="427"/>
      <c r="Q29" s="428"/>
      <c r="R29" s="429"/>
      <c r="S29" s="430"/>
      <c r="T29" s="431"/>
      <c r="U29" s="160">
        <f t="shared" si="3"/>
        <v>0</v>
      </c>
      <c r="V29" s="160">
        <f t="shared" si="1"/>
        <v>0</v>
      </c>
      <c r="W29" s="432">
        <f>U29*3.14</f>
        <v>0</v>
      </c>
      <c r="X29" s="433">
        <f t="shared" si="6"/>
        <v>0</v>
      </c>
    </row>
    <row r="30" spans="2:24" ht="15.75" customHeight="1" x14ac:dyDescent="0.35">
      <c r="B30" s="76"/>
      <c r="C30" s="76"/>
      <c r="D30" s="76"/>
      <c r="E30" s="76"/>
      <c r="F30" s="887"/>
      <c r="G30" s="435">
        <f>SUM(G6:G29)</f>
        <v>0</v>
      </c>
      <c r="H30" s="435">
        <f t="shared" ref="H30:W30" si="8">SUM(H6:H29)</f>
        <v>0</v>
      </c>
      <c r="I30" s="435">
        <f t="shared" si="8"/>
        <v>0</v>
      </c>
      <c r="J30" s="435">
        <f t="shared" si="8"/>
        <v>0</v>
      </c>
      <c r="K30" s="435">
        <f t="shared" si="8"/>
        <v>0</v>
      </c>
      <c r="L30" s="435">
        <f t="shared" si="8"/>
        <v>0</v>
      </c>
      <c r="M30" s="435">
        <f t="shared" si="8"/>
        <v>0</v>
      </c>
      <c r="N30" s="435">
        <f t="shared" si="8"/>
        <v>0</v>
      </c>
      <c r="O30" s="435">
        <f t="shared" si="8"/>
        <v>0</v>
      </c>
      <c r="P30" s="435">
        <f t="shared" si="8"/>
        <v>0</v>
      </c>
      <c r="Q30" s="435">
        <f t="shared" si="8"/>
        <v>0</v>
      </c>
      <c r="R30" s="435">
        <f t="shared" si="8"/>
        <v>0</v>
      </c>
      <c r="S30" s="435">
        <f t="shared" si="8"/>
        <v>0</v>
      </c>
      <c r="T30" s="435">
        <f t="shared" si="8"/>
        <v>0</v>
      </c>
      <c r="U30" s="435">
        <f t="shared" si="8"/>
        <v>0</v>
      </c>
      <c r="V30" s="435">
        <f t="shared" si="8"/>
        <v>0</v>
      </c>
      <c r="W30" s="435">
        <f t="shared" si="8"/>
        <v>0</v>
      </c>
      <c r="X30" s="436">
        <f>SUM(X6:X29)</f>
        <v>0</v>
      </c>
    </row>
    <row r="31" spans="2:24" ht="15.75" customHeight="1" x14ac:dyDescent="0.35">
      <c r="F31" s="1"/>
    </row>
    <row r="32" spans="2:24" ht="15.75" customHeight="1" x14ac:dyDescent="0.35">
      <c r="F32" s="1"/>
    </row>
    <row r="33" spans="6:6" ht="15.75" customHeight="1" x14ac:dyDescent="0.35">
      <c r="F33" s="1"/>
    </row>
    <row r="34" spans="6:6" ht="15.75" customHeight="1" x14ac:dyDescent="0.35">
      <c r="F34" s="1"/>
    </row>
    <row r="35" spans="6:6" ht="15.75" customHeight="1" x14ac:dyDescent="0.35">
      <c r="F35" s="1"/>
    </row>
    <row r="36" spans="6:6" ht="15.75" customHeight="1" x14ac:dyDescent="0.35">
      <c r="F36" s="1"/>
    </row>
    <row r="37" spans="6:6" ht="15.75" customHeight="1" x14ac:dyDescent="0.35">
      <c r="F37" s="1"/>
    </row>
    <row r="38" spans="6:6" ht="15.75" customHeight="1" x14ac:dyDescent="0.35">
      <c r="F38" s="1"/>
    </row>
    <row r="39" spans="6:6" ht="15.75" customHeight="1" x14ac:dyDescent="0.35">
      <c r="F39" s="1"/>
    </row>
    <row r="40" spans="6:6" ht="15.75" customHeight="1" x14ac:dyDescent="0.35">
      <c r="F40" s="1"/>
    </row>
    <row r="41" spans="6:6" ht="15.75" customHeight="1" x14ac:dyDescent="0.35">
      <c r="F41" s="1"/>
    </row>
    <row r="42" spans="6:6" ht="15.75" customHeight="1" x14ac:dyDescent="0.35">
      <c r="F42" s="1"/>
    </row>
    <row r="43" spans="6:6" ht="15.75" customHeight="1" x14ac:dyDescent="0.35">
      <c r="F43" s="1"/>
    </row>
    <row r="44" spans="6:6" ht="15.75" customHeight="1" x14ac:dyDescent="0.35">
      <c r="F44" s="1"/>
    </row>
    <row r="45" spans="6:6" ht="15.75" customHeight="1" x14ac:dyDescent="0.35">
      <c r="F45" s="1"/>
    </row>
    <row r="46" spans="6:6" ht="15.75" customHeight="1" x14ac:dyDescent="0.35">
      <c r="F46" s="1"/>
    </row>
    <row r="47" spans="6:6" ht="15.75" customHeight="1" x14ac:dyDescent="0.35">
      <c r="F47" s="1"/>
    </row>
    <row r="48" spans="6:6" ht="15.75" customHeight="1" x14ac:dyDescent="0.35">
      <c r="F48" s="1"/>
    </row>
    <row r="49" spans="6:6" ht="15.75" customHeight="1" x14ac:dyDescent="0.35">
      <c r="F49" s="1"/>
    </row>
    <row r="50" spans="6:6" ht="15.75" customHeight="1" x14ac:dyDescent="0.35">
      <c r="F50" s="1"/>
    </row>
    <row r="51" spans="6:6" ht="15.75" customHeight="1" x14ac:dyDescent="0.35">
      <c r="F51" s="1"/>
    </row>
    <row r="52" spans="6:6" ht="15.75" customHeight="1" x14ac:dyDescent="0.35">
      <c r="F52" s="1"/>
    </row>
    <row r="53" spans="6:6" ht="15.75" customHeight="1" x14ac:dyDescent="0.35">
      <c r="F53" s="1"/>
    </row>
    <row r="54" spans="6:6" ht="15.75" customHeight="1" x14ac:dyDescent="0.35">
      <c r="F54" s="1"/>
    </row>
    <row r="55" spans="6:6" ht="15.75" customHeight="1" x14ac:dyDescent="0.35">
      <c r="F55" s="1"/>
    </row>
    <row r="56" spans="6:6" ht="15.75" customHeight="1" x14ac:dyDescent="0.35">
      <c r="F56" s="1"/>
    </row>
    <row r="57" spans="6:6" ht="15.75" customHeight="1" x14ac:dyDescent="0.35">
      <c r="F57" s="1"/>
    </row>
    <row r="58" spans="6:6" ht="15.75" customHeight="1" x14ac:dyDescent="0.35">
      <c r="F58" s="1"/>
    </row>
    <row r="59" spans="6:6" ht="15.75" customHeight="1" x14ac:dyDescent="0.35">
      <c r="F59" s="1"/>
    </row>
    <row r="60" spans="6:6" ht="15.75" customHeight="1" x14ac:dyDescent="0.35">
      <c r="F60" s="1"/>
    </row>
    <row r="61" spans="6:6" ht="15.75" customHeight="1" x14ac:dyDescent="0.35">
      <c r="F61" s="1"/>
    </row>
    <row r="62" spans="6:6" ht="15.75" customHeight="1" x14ac:dyDescent="0.35">
      <c r="F62" s="1"/>
    </row>
    <row r="63" spans="6:6" ht="15.75" customHeight="1" x14ac:dyDescent="0.35">
      <c r="F63" s="1"/>
    </row>
    <row r="64" spans="6:6" ht="15.75" customHeight="1" x14ac:dyDescent="0.35">
      <c r="F64" s="1"/>
    </row>
    <row r="65" spans="6:6" ht="15.75" customHeight="1" x14ac:dyDescent="0.35">
      <c r="F65" s="1"/>
    </row>
    <row r="66" spans="6:6" ht="15.75" customHeight="1" x14ac:dyDescent="0.35">
      <c r="F66" s="1"/>
    </row>
    <row r="67" spans="6:6" ht="15.75" customHeight="1" x14ac:dyDescent="0.35">
      <c r="F67" s="1"/>
    </row>
    <row r="68" spans="6:6" ht="15.75" customHeight="1" x14ac:dyDescent="0.35">
      <c r="F68" s="1"/>
    </row>
    <row r="69" spans="6:6" ht="15.75" customHeight="1" x14ac:dyDescent="0.35">
      <c r="F69" s="1"/>
    </row>
    <row r="70" spans="6:6" ht="15.75" customHeight="1" x14ac:dyDescent="0.35">
      <c r="F70" s="1"/>
    </row>
    <row r="71" spans="6:6" ht="15.75" customHeight="1" x14ac:dyDescent="0.35">
      <c r="F71" s="1"/>
    </row>
    <row r="72" spans="6:6" ht="15.75" customHeight="1" x14ac:dyDescent="0.35">
      <c r="F72" s="1"/>
    </row>
    <row r="73" spans="6:6" ht="15.75" customHeight="1" x14ac:dyDescent="0.35">
      <c r="F73" s="1"/>
    </row>
    <row r="74" spans="6:6" ht="15.75" customHeight="1" x14ac:dyDescent="0.35">
      <c r="F74" s="1"/>
    </row>
    <row r="75" spans="6:6" ht="15.75" customHeight="1" x14ac:dyDescent="0.35">
      <c r="F75" s="1"/>
    </row>
    <row r="76" spans="6:6" ht="15.75" customHeight="1" x14ac:dyDescent="0.35">
      <c r="F76" s="1"/>
    </row>
    <row r="77" spans="6:6" ht="15.75" customHeight="1" x14ac:dyDescent="0.35">
      <c r="F77" s="1"/>
    </row>
    <row r="78" spans="6:6" ht="15.75" customHeight="1" x14ac:dyDescent="0.35">
      <c r="F78" s="1"/>
    </row>
    <row r="79" spans="6:6" ht="15.75" customHeight="1" x14ac:dyDescent="0.35">
      <c r="F79" s="1"/>
    </row>
    <row r="80" spans="6:6" ht="15.75" customHeight="1" x14ac:dyDescent="0.35">
      <c r="F80" s="1"/>
    </row>
    <row r="81" spans="6:6" ht="15.75" customHeight="1" x14ac:dyDescent="0.35">
      <c r="F81" s="1"/>
    </row>
    <row r="82" spans="6:6" ht="15.75" customHeight="1" x14ac:dyDescent="0.35">
      <c r="F82" s="1"/>
    </row>
    <row r="83" spans="6:6" ht="15.75" customHeight="1" x14ac:dyDescent="0.35">
      <c r="F83" s="1"/>
    </row>
    <row r="84" spans="6:6" ht="15.75" customHeight="1" x14ac:dyDescent="0.35">
      <c r="F84" s="1"/>
    </row>
    <row r="85" spans="6:6" ht="15.75" customHeight="1" x14ac:dyDescent="0.35">
      <c r="F85" s="1"/>
    </row>
    <row r="86" spans="6:6" ht="15.75" customHeight="1" x14ac:dyDescent="0.35">
      <c r="F86" s="1"/>
    </row>
    <row r="87" spans="6:6" ht="15.75" customHeight="1" x14ac:dyDescent="0.35">
      <c r="F87" s="1"/>
    </row>
    <row r="88" spans="6:6" ht="15.75" customHeight="1" x14ac:dyDescent="0.35">
      <c r="F88" s="1"/>
    </row>
    <row r="89" spans="6:6" ht="15.75" customHeight="1" x14ac:dyDescent="0.35">
      <c r="F89" s="1"/>
    </row>
    <row r="90" spans="6:6" ht="15.75" customHeight="1" x14ac:dyDescent="0.35">
      <c r="F90" s="1"/>
    </row>
    <row r="91" spans="6:6" ht="15.75" customHeight="1" x14ac:dyDescent="0.35">
      <c r="F91" s="1"/>
    </row>
    <row r="92" spans="6:6" ht="15.75" customHeight="1" x14ac:dyDescent="0.35">
      <c r="F92" s="1"/>
    </row>
    <row r="93" spans="6:6" ht="15.75" customHeight="1" x14ac:dyDescent="0.35">
      <c r="F93" s="1"/>
    </row>
    <row r="94" spans="6:6" ht="15.75" customHeight="1" x14ac:dyDescent="0.35">
      <c r="F94" s="1"/>
    </row>
    <row r="95" spans="6:6" ht="15.75" customHeight="1" x14ac:dyDescent="0.35">
      <c r="F95" s="1"/>
    </row>
    <row r="96" spans="6:6" ht="15.75" customHeight="1" x14ac:dyDescent="0.35">
      <c r="F96" s="1"/>
    </row>
    <row r="97" spans="6:6" ht="15.75" customHeight="1" x14ac:dyDescent="0.35">
      <c r="F97" s="1"/>
    </row>
    <row r="98" spans="6:6" ht="15.75" customHeight="1" x14ac:dyDescent="0.35">
      <c r="F98" s="1"/>
    </row>
    <row r="99" spans="6:6" ht="15.75" customHeight="1" x14ac:dyDescent="0.35">
      <c r="F99" s="1"/>
    </row>
    <row r="100" spans="6:6" ht="15.75" customHeight="1" x14ac:dyDescent="0.35">
      <c r="F100" s="1"/>
    </row>
    <row r="101" spans="6:6" ht="15.75" customHeight="1" x14ac:dyDescent="0.35">
      <c r="F101" s="1"/>
    </row>
    <row r="102" spans="6:6" ht="15.75" customHeight="1" x14ac:dyDescent="0.35">
      <c r="F102" s="1"/>
    </row>
    <row r="103" spans="6:6" ht="15.75" customHeight="1" x14ac:dyDescent="0.35">
      <c r="F103" s="1"/>
    </row>
    <row r="104" spans="6:6" ht="15.75" customHeight="1" x14ac:dyDescent="0.35">
      <c r="F104" s="1"/>
    </row>
    <row r="105" spans="6:6" ht="15.75" customHeight="1" x14ac:dyDescent="0.35">
      <c r="F105" s="1"/>
    </row>
    <row r="106" spans="6:6" ht="15.75" customHeight="1" x14ac:dyDescent="0.35">
      <c r="F106" s="1"/>
    </row>
    <row r="107" spans="6:6" ht="15.75" customHeight="1" x14ac:dyDescent="0.35">
      <c r="F107" s="1"/>
    </row>
    <row r="108" spans="6:6" ht="15.75" customHeight="1" x14ac:dyDescent="0.35">
      <c r="F108" s="1"/>
    </row>
    <row r="109" spans="6:6" ht="15.75" customHeight="1" x14ac:dyDescent="0.35">
      <c r="F109" s="1"/>
    </row>
    <row r="110" spans="6:6" ht="15.75" customHeight="1" x14ac:dyDescent="0.35">
      <c r="F110" s="1"/>
    </row>
    <row r="111" spans="6:6" ht="15.75" customHeight="1" x14ac:dyDescent="0.35">
      <c r="F111" s="1"/>
    </row>
    <row r="112" spans="6:6" ht="15.75" customHeight="1" x14ac:dyDescent="0.35">
      <c r="F112" s="1"/>
    </row>
    <row r="113" spans="6:6" ht="15.75" customHeight="1" x14ac:dyDescent="0.35">
      <c r="F113" s="1"/>
    </row>
    <row r="114" spans="6:6" ht="15.75" customHeight="1" x14ac:dyDescent="0.35">
      <c r="F114" s="1"/>
    </row>
    <row r="115" spans="6:6" ht="15.75" customHeight="1" x14ac:dyDescent="0.35">
      <c r="F115" s="1"/>
    </row>
    <row r="116" spans="6:6" ht="15.75" customHeight="1" x14ac:dyDescent="0.35">
      <c r="F116" s="1"/>
    </row>
    <row r="117" spans="6:6" ht="15.75" customHeight="1" x14ac:dyDescent="0.35">
      <c r="F117" s="1"/>
    </row>
    <row r="118" spans="6:6" ht="15.75" customHeight="1" x14ac:dyDescent="0.35">
      <c r="F118" s="1"/>
    </row>
    <row r="119" spans="6:6" ht="15.75" customHeight="1" x14ac:dyDescent="0.35">
      <c r="F119" s="1"/>
    </row>
    <row r="120" spans="6:6" ht="15.75" customHeight="1" x14ac:dyDescent="0.35">
      <c r="F120" s="1"/>
    </row>
    <row r="121" spans="6:6" ht="15.75" customHeight="1" x14ac:dyDescent="0.35">
      <c r="F121" s="1"/>
    </row>
    <row r="122" spans="6:6" ht="15.75" customHeight="1" x14ac:dyDescent="0.35">
      <c r="F122" s="1"/>
    </row>
    <row r="123" spans="6:6" ht="15.75" customHeight="1" x14ac:dyDescent="0.35">
      <c r="F123" s="1"/>
    </row>
    <row r="124" spans="6:6" ht="15.75" customHeight="1" x14ac:dyDescent="0.35">
      <c r="F124" s="1"/>
    </row>
    <row r="125" spans="6:6" ht="15.75" customHeight="1" x14ac:dyDescent="0.35">
      <c r="F125" s="1"/>
    </row>
    <row r="126" spans="6:6" ht="15.75" customHeight="1" x14ac:dyDescent="0.35">
      <c r="F126" s="1"/>
    </row>
    <row r="127" spans="6:6" ht="15.75" customHeight="1" x14ac:dyDescent="0.35">
      <c r="F127" s="1"/>
    </row>
    <row r="128" spans="6:6" ht="15.75" customHeight="1" x14ac:dyDescent="0.35">
      <c r="F128" s="1"/>
    </row>
    <row r="129" spans="6:6" ht="15.75" customHeight="1" x14ac:dyDescent="0.35">
      <c r="F129" s="1"/>
    </row>
    <row r="130" spans="6:6" ht="15.75" customHeight="1" x14ac:dyDescent="0.35">
      <c r="F130" s="1"/>
    </row>
    <row r="131" spans="6:6" ht="15.75" customHeight="1" x14ac:dyDescent="0.35">
      <c r="F131" s="1"/>
    </row>
    <row r="132" spans="6:6" ht="15.75" customHeight="1" x14ac:dyDescent="0.35">
      <c r="F132" s="1"/>
    </row>
    <row r="133" spans="6:6" ht="15.75" customHeight="1" x14ac:dyDescent="0.35">
      <c r="F133" s="1"/>
    </row>
    <row r="134" spans="6:6" ht="15.75" customHeight="1" x14ac:dyDescent="0.35">
      <c r="F134" s="1"/>
    </row>
    <row r="135" spans="6:6" ht="15.75" customHeight="1" x14ac:dyDescent="0.35">
      <c r="F135" s="1"/>
    </row>
    <row r="136" spans="6:6" ht="15.75" customHeight="1" x14ac:dyDescent="0.35">
      <c r="F136" s="1"/>
    </row>
    <row r="137" spans="6:6" ht="15.75" customHeight="1" x14ac:dyDescent="0.35">
      <c r="F137" s="1"/>
    </row>
    <row r="138" spans="6:6" ht="15.75" customHeight="1" x14ac:dyDescent="0.35">
      <c r="F138" s="1"/>
    </row>
    <row r="139" spans="6:6" ht="15.75" customHeight="1" x14ac:dyDescent="0.35">
      <c r="F139" s="1"/>
    </row>
    <row r="140" spans="6:6" ht="15.75" customHeight="1" x14ac:dyDescent="0.35">
      <c r="F140" s="1"/>
    </row>
    <row r="141" spans="6:6" ht="15.75" customHeight="1" x14ac:dyDescent="0.35">
      <c r="F141" s="1"/>
    </row>
    <row r="142" spans="6:6" ht="15.75" customHeight="1" x14ac:dyDescent="0.35">
      <c r="F142" s="1"/>
    </row>
    <row r="143" spans="6:6" ht="15.75" customHeight="1" x14ac:dyDescent="0.35">
      <c r="F143" s="1"/>
    </row>
    <row r="144" spans="6:6" ht="15.75" customHeight="1" x14ac:dyDescent="0.35">
      <c r="F144" s="1"/>
    </row>
    <row r="145" spans="6:6" ht="15.75" customHeight="1" x14ac:dyDescent="0.35">
      <c r="F145" s="1"/>
    </row>
    <row r="146" spans="6:6" ht="15.75" customHeight="1" x14ac:dyDescent="0.35">
      <c r="F146" s="1"/>
    </row>
    <row r="147" spans="6:6" ht="15.75" customHeight="1" x14ac:dyDescent="0.35">
      <c r="F147" s="1"/>
    </row>
    <row r="148" spans="6:6" ht="15.75" customHeight="1" x14ac:dyDescent="0.35">
      <c r="F148" s="1"/>
    </row>
    <row r="149" spans="6:6" ht="15.75" customHeight="1" x14ac:dyDescent="0.35">
      <c r="F149" s="1"/>
    </row>
    <row r="150" spans="6:6" ht="15.75" customHeight="1" x14ac:dyDescent="0.35">
      <c r="F150" s="1"/>
    </row>
    <row r="151" spans="6:6" ht="15.75" customHeight="1" x14ac:dyDescent="0.35">
      <c r="F151" s="1"/>
    </row>
    <row r="152" spans="6:6" ht="15.75" customHeight="1" x14ac:dyDescent="0.35">
      <c r="F152" s="1"/>
    </row>
    <row r="153" spans="6:6" ht="15.75" customHeight="1" x14ac:dyDescent="0.35">
      <c r="F153" s="1"/>
    </row>
    <row r="154" spans="6:6" ht="15.75" customHeight="1" x14ac:dyDescent="0.35">
      <c r="F154" s="1"/>
    </row>
    <row r="155" spans="6:6" ht="15.75" customHeight="1" x14ac:dyDescent="0.35">
      <c r="F155" s="1"/>
    </row>
    <row r="156" spans="6:6" ht="15.75" customHeight="1" x14ac:dyDescent="0.35">
      <c r="F156" s="1"/>
    </row>
    <row r="157" spans="6:6" ht="15.75" customHeight="1" x14ac:dyDescent="0.35">
      <c r="F157" s="1"/>
    </row>
    <row r="158" spans="6:6" ht="15.75" customHeight="1" x14ac:dyDescent="0.35">
      <c r="F158" s="1"/>
    </row>
    <row r="159" spans="6:6" ht="15.75" customHeight="1" x14ac:dyDescent="0.35">
      <c r="F159" s="1"/>
    </row>
    <row r="160" spans="6:6" ht="15.75" customHeight="1" x14ac:dyDescent="0.35">
      <c r="F160" s="1"/>
    </row>
    <row r="161" spans="6:6" ht="15.75" customHeight="1" x14ac:dyDescent="0.35">
      <c r="F161" s="1"/>
    </row>
    <row r="162" spans="6:6" ht="15.75" customHeight="1" x14ac:dyDescent="0.35">
      <c r="F162" s="1"/>
    </row>
    <row r="163" spans="6:6" ht="15.75" customHeight="1" x14ac:dyDescent="0.35">
      <c r="F163" s="1"/>
    </row>
    <row r="164" spans="6:6" ht="15.75" customHeight="1" x14ac:dyDescent="0.35">
      <c r="F164" s="1"/>
    </row>
    <row r="165" spans="6:6" ht="15.75" customHeight="1" x14ac:dyDescent="0.35">
      <c r="F165" s="1"/>
    </row>
    <row r="166" spans="6:6" ht="15.75" customHeight="1" x14ac:dyDescent="0.35">
      <c r="F166" s="1"/>
    </row>
    <row r="167" spans="6:6" ht="15.75" customHeight="1" x14ac:dyDescent="0.35">
      <c r="F167" s="1"/>
    </row>
    <row r="168" spans="6:6" ht="15.75" customHeight="1" x14ac:dyDescent="0.35">
      <c r="F168" s="1"/>
    </row>
    <row r="169" spans="6:6" ht="15.75" customHeight="1" x14ac:dyDescent="0.35">
      <c r="F169" s="1"/>
    </row>
    <row r="170" spans="6:6" ht="15.75" customHeight="1" x14ac:dyDescent="0.35">
      <c r="F170" s="1"/>
    </row>
    <row r="171" spans="6:6" ht="15.75" customHeight="1" x14ac:dyDescent="0.35">
      <c r="F171" s="1"/>
    </row>
    <row r="172" spans="6:6" ht="15.75" customHeight="1" x14ac:dyDescent="0.35">
      <c r="F172" s="1"/>
    </row>
    <row r="173" spans="6:6" ht="15.75" customHeight="1" x14ac:dyDescent="0.35">
      <c r="F173" s="1"/>
    </row>
    <row r="174" spans="6:6" ht="15.75" customHeight="1" x14ac:dyDescent="0.35">
      <c r="F174" s="1"/>
    </row>
    <row r="175" spans="6:6" ht="15.75" customHeight="1" x14ac:dyDescent="0.35">
      <c r="F175" s="1"/>
    </row>
    <row r="176" spans="6:6" ht="15.75" customHeight="1" x14ac:dyDescent="0.35">
      <c r="F176" s="1"/>
    </row>
    <row r="177" spans="6:6" ht="15.75" customHeight="1" x14ac:dyDescent="0.35">
      <c r="F177" s="1"/>
    </row>
    <row r="178" spans="6:6" ht="15.75" customHeight="1" x14ac:dyDescent="0.35">
      <c r="F178" s="1"/>
    </row>
    <row r="179" spans="6:6" ht="15.75" customHeight="1" x14ac:dyDescent="0.35">
      <c r="F179" s="1"/>
    </row>
    <row r="180" spans="6:6" ht="15.75" customHeight="1" x14ac:dyDescent="0.35">
      <c r="F180" s="1"/>
    </row>
    <row r="181" spans="6:6" ht="15.75" customHeight="1" x14ac:dyDescent="0.35">
      <c r="F181" s="1"/>
    </row>
    <row r="182" spans="6:6" ht="15.75" customHeight="1" x14ac:dyDescent="0.35">
      <c r="F182" s="1"/>
    </row>
    <row r="183" spans="6:6" ht="15.75" customHeight="1" x14ac:dyDescent="0.35">
      <c r="F183" s="1"/>
    </row>
    <row r="184" spans="6:6" ht="15.75" customHeight="1" x14ac:dyDescent="0.35">
      <c r="F184" s="1"/>
    </row>
    <row r="185" spans="6:6" ht="15.75" customHeight="1" x14ac:dyDescent="0.35">
      <c r="F185" s="1"/>
    </row>
    <row r="186" spans="6:6" ht="15.75" customHeight="1" x14ac:dyDescent="0.35">
      <c r="F186" s="1"/>
    </row>
    <row r="187" spans="6:6" ht="15.75" customHeight="1" x14ac:dyDescent="0.35">
      <c r="F187" s="1"/>
    </row>
    <row r="188" spans="6:6" ht="15.75" customHeight="1" x14ac:dyDescent="0.35">
      <c r="F188" s="1"/>
    </row>
    <row r="189" spans="6:6" ht="15.75" customHeight="1" x14ac:dyDescent="0.35">
      <c r="F189" s="1"/>
    </row>
    <row r="190" spans="6:6" ht="15.75" customHeight="1" x14ac:dyDescent="0.35">
      <c r="F190" s="1"/>
    </row>
    <row r="191" spans="6:6" ht="15.75" customHeight="1" x14ac:dyDescent="0.35">
      <c r="F191" s="1"/>
    </row>
    <row r="192" spans="6:6" ht="15.75" customHeight="1" x14ac:dyDescent="0.35">
      <c r="F192" s="1"/>
    </row>
    <row r="193" spans="6:6" ht="15.75" customHeight="1" x14ac:dyDescent="0.35">
      <c r="F193" s="1"/>
    </row>
    <row r="194" spans="6:6" ht="15.75" customHeight="1" x14ac:dyDescent="0.35">
      <c r="F194" s="1"/>
    </row>
    <row r="195" spans="6:6" ht="15.75" customHeight="1" x14ac:dyDescent="0.35">
      <c r="F195" s="1"/>
    </row>
    <row r="196" spans="6:6" ht="15.75" customHeight="1" x14ac:dyDescent="0.35">
      <c r="F196" s="1"/>
    </row>
    <row r="197" spans="6:6" ht="15.75" customHeight="1" x14ac:dyDescent="0.35">
      <c r="F197" s="1"/>
    </row>
    <row r="198" spans="6:6" ht="15.75" customHeight="1" x14ac:dyDescent="0.35">
      <c r="F198" s="1"/>
    </row>
    <row r="199" spans="6:6" ht="15.75" customHeight="1" x14ac:dyDescent="0.35">
      <c r="F199" s="1"/>
    </row>
    <row r="200" spans="6:6" ht="15.75" customHeight="1" x14ac:dyDescent="0.35">
      <c r="F200" s="1"/>
    </row>
    <row r="201" spans="6:6" ht="15.75" customHeight="1" x14ac:dyDescent="0.35">
      <c r="F201" s="1"/>
    </row>
    <row r="202" spans="6:6" ht="15.75" customHeight="1" x14ac:dyDescent="0.35">
      <c r="F202" s="1"/>
    </row>
    <row r="203" spans="6:6" ht="15.75" customHeight="1" x14ac:dyDescent="0.35">
      <c r="F203" s="1"/>
    </row>
    <row r="204" spans="6:6" ht="15.75" customHeight="1" x14ac:dyDescent="0.35">
      <c r="F204" s="1"/>
    </row>
    <row r="205" spans="6:6" ht="15.75" customHeight="1" x14ac:dyDescent="0.35">
      <c r="F205" s="1"/>
    </row>
    <row r="206" spans="6:6" ht="15.75" customHeight="1" x14ac:dyDescent="0.35">
      <c r="F206" s="1"/>
    </row>
    <row r="207" spans="6:6" ht="15.75" customHeight="1" x14ac:dyDescent="0.35">
      <c r="F207" s="1"/>
    </row>
    <row r="208" spans="6:6" ht="15.75" customHeight="1" x14ac:dyDescent="0.35">
      <c r="F208" s="1"/>
    </row>
    <row r="209" spans="6:6" ht="15.75" customHeight="1" x14ac:dyDescent="0.35">
      <c r="F209" s="1"/>
    </row>
    <row r="210" spans="6:6" ht="15.75" customHeight="1" x14ac:dyDescent="0.35">
      <c r="F210" s="1"/>
    </row>
    <row r="211" spans="6:6" ht="15.75" customHeight="1" x14ac:dyDescent="0.35">
      <c r="F211" s="1"/>
    </row>
    <row r="212" spans="6:6" ht="15.75" customHeight="1" x14ac:dyDescent="0.35">
      <c r="F212" s="1"/>
    </row>
    <row r="213" spans="6:6" ht="15.75" customHeight="1" x14ac:dyDescent="0.35">
      <c r="F213" s="1"/>
    </row>
    <row r="214" spans="6:6" ht="15.75" customHeight="1" x14ac:dyDescent="0.35">
      <c r="F214" s="1"/>
    </row>
    <row r="215" spans="6:6" ht="15.75" customHeight="1" x14ac:dyDescent="0.35">
      <c r="F215" s="1"/>
    </row>
    <row r="216" spans="6:6" ht="15.75" customHeight="1" x14ac:dyDescent="0.35">
      <c r="F216" s="1"/>
    </row>
    <row r="217" spans="6:6" ht="15.75" customHeight="1" x14ac:dyDescent="0.35">
      <c r="F217" s="1"/>
    </row>
    <row r="218" spans="6:6" ht="15.75" customHeight="1" x14ac:dyDescent="0.35">
      <c r="F218" s="1"/>
    </row>
    <row r="219" spans="6:6" ht="15.75" customHeight="1" x14ac:dyDescent="0.35">
      <c r="F219" s="1"/>
    </row>
    <row r="220" spans="6:6" ht="15.75" customHeight="1" x14ac:dyDescent="0.35">
      <c r="F220" s="1"/>
    </row>
    <row r="221" spans="6:6" ht="15.75" customHeight="1" x14ac:dyDescent="0.35">
      <c r="F221" s="1"/>
    </row>
    <row r="222" spans="6:6" ht="15.75" customHeight="1" x14ac:dyDescent="0.35">
      <c r="F222" s="1"/>
    </row>
    <row r="223" spans="6:6" ht="15.75" customHeight="1" x14ac:dyDescent="0.35">
      <c r="F223" s="1"/>
    </row>
    <row r="224" spans="6:6" ht="15.75" customHeight="1" x14ac:dyDescent="0.35">
      <c r="F224" s="1"/>
    </row>
    <row r="225" spans="6:6" ht="15.75" customHeight="1" x14ac:dyDescent="0.35">
      <c r="F225" s="1"/>
    </row>
    <row r="226" spans="6:6" ht="15.75" customHeight="1" x14ac:dyDescent="0.35">
      <c r="F226" s="1"/>
    </row>
    <row r="227" spans="6:6" ht="15.75" customHeight="1" x14ac:dyDescent="0.35">
      <c r="F227" s="1"/>
    </row>
    <row r="228" spans="6:6" ht="15.75" customHeight="1" x14ac:dyDescent="0.35">
      <c r="F228" s="1"/>
    </row>
    <row r="229" spans="6:6" ht="15.75" customHeight="1" x14ac:dyDescent="0.35">
      <c r="F229" s="1"/>
    </row>
    <row r="230" spans="6:6" ht="15.75" customHeight="1" x14ac:dyDescent="0.35">
      <c r="F230" s="1"/>
    </row>
    <row r="231" spans="6:6" ht="15.75" customHeight="1" x14ac:dyDescent="0.35"/>
    <row r="232" spans="6:6" ht="15.75" customHeight="1" x14ac:dyDescent="0.35"/>
    <row r="233" spans="6:6" ht="15.75" customHeight="1" x14ac:dyDescent="0.35"/>
    <row r="234" spans="6:6" ht="15.75" customHeight="1" x14ac:dyDescent="0.35"/>
    <row r="235" spans="6:6" ht="15.75" customHeight="1" x14ac:dyDescent="0.35"/>
    <row r="236" spans="6:6" ht="15.75" customHeight="1" x14ac:dyDescent="0.35"/>
    <row r="237" spans="6:6" ht="15.75" customHeight="1" x14ac:dyDescent="0.35"/>
    <row r="238" spans="6:6" ht="15.75" customHeight="1" x14ac:dyDescent="0.35"/>
    <row r="239" spans="6:6" ht="15.75" customHeight="1" x14ac:dyDescent="0.35"/>
    <row r="240" spans="6: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2">
    <mergeCell ref="B2:E3"/>
    <mergeCell ref="B6:C6"/>
  </mergeCells>
  <pageMargins left="0.7" right="0.7" top="0.75" bottom="0.75" header="0" footer="0"/>
  <pageSetup paperSize="9" fitToHeight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B1:X1002"/>
  <sheetViews>
    <sheetView topLeftCell="A28" zoomScale="85" zoomScaleNormal="85" workbookViewId="0">
      <selection activeCell="Y24" sqref="Y24"/>
    </sheetView>
  </sheetViews>
  <sheetFormatPr defaultColWidth="14.453125" defaultRowHeight="15" customHeight="1" x14ac:dyDescent="0.35"/>
  <cols>
    <col min="1" max="1" width="3" customWidth="1"/>
    <col min="2" max="2" width="14.26953125" customWidth="1"/>
    <col min="3" max="3" width="23.26953125" customWidth="1"/>
    <col min="4" max="4" width="8.26953125" customWidth="1"/>
    <col min="5" max="5" width="9.54296875" customWidth="1"/>
    <col min="6" max="6" width="8.453125" style="869" customWidth="1"/>
    <col min="7" max="20" width="9.1796875" customWidth="1"/>
    <col min="21" max="21" width="5.1796875" customWidth="1"/>
    <col min="22" max="22" width="7" customWidth="1"/>
    <col min="23" max="23" width="8.1796875" customWidth="1"/>
    <col min="24" max="24" width="14.81640625" customWidth="1"/>
  </cols>
  <sheetData>
    <row r="1" spans="2:24" ht="14.5" x14ac:dyDescent="0.35">
      <c r="F1" s="864"/>
    </row>
    <row r="2" spans="2:24" ht="33" customHeight="1" thickBot="1" x14ac:dyDescent="0.8">
      <c r="B2" s="1035" t="s">
        <v>382</v>
      </c>
      <c r="C2" s="1031"/>
      <c r="D2" s="1031"/>
      <c r="E2" s="76"/>
      <c r="F2" s="887"/>
      <c r="G2" s="77" t="s">
        <v>27</v>
      </c>
      <c r="H2" s="78" t="s">
        <v>2</v>
      </c>
      <c r="I2" s="135" t="s">
        <v>3</v>
      </c>
      <c r="J2" s="80" t="s">
        <v>4</v>
      </c>
      <c r="K2" s="136" t="s">
        <v>5</v>
      </c>
      <c r="L2" s="82" t="s">
        <v>6</v>
      </c>
      <c r="M2" s="83" t="s">
        <v>7</v>
      </c>
      <c r="N2" s="84" t="s">
        <v>8</v>
      </c>
      <c r="O2" s="85" t="s">
        <v>9</v>
      </c>
      <c r="P2" s="86" t="s">
        <v>10</v>
      </c>
      <c r="Q2" s="87" t="s">
        <v>11</v>
      </c>
      <c r="R2" s="88" t="s">
        <v>12</v>
      </c>
      <c r="S2" s="89" t="s">
        <v>13</v>
      </c>
      <c r="T2" s="90" t="s">
        <v>14</v>
      </c>
      <c r="U2" s="3"/>
      <c r="V2" s="3"/>
      <c r="W2" s="3"/>
      <c r="X2" s="91"/>
    </row>
    <row r="3" spans="2:24" ht="15" customHeight="1" thickBot="1" x14ac:dyDescent="0.4">
      <c r="B3" s="92" t="s">
        <v>15</v>
      </c>
      <c r="C3" s="93" t="s">
        <v>258</v>
      </c>
      <c r="D3" s="94" t="s">
        <v>17</v>
      </c>
      <c r="E3" s="94" t="s">
        <v>18</v>
      </c>
      <c r="F3" s="865" t="s">
        <v>19</v>
      </c>
      <c r="G3" s="96">
        <v>2</v>
      </c>
      <c r="H3" s="97">
        <v>5</v>
      </c>
      <c r="I3" s="137">
        <v>7</v>
      </c>
      <c r="J3" s="99">
        <v>10</v>
      </c>
      <c r="K3" s="138">
        <v>11</v>
      </c>
      <c r="L3" s="101">
        <v>12</v>
      </c>
      <c r="M3" s="102">
        <v>13</v>
      </c>
      <c r="N3" s="103">
        <v>16</v>
      </c>
      <c r="O3" s="104">
        <v>27</v>
      </c>
      <c r="P3" s="105">
        <v>69</v>
      </c>
      <c r="Q3" s="106">
        <v>76</v>
      </c>
      <c r="R3" s="107">
        <v>77</v>
      </c>
      <c r="S3" s="108">
        <v>79</v>
      </c>
      <c r="T3" s="109">
        <v>81</v>
      </c>
      <c r="U3" s="108" t="s">
        <v>20</v>
      </c>
      <c r="V3" s="108" t="s">
        <v>21</v>
      </c>
      <c r="W3" s="108" t="s">
        <v>22</v>
      </c>
      <c r="X3" s="110" t="s">
        <v>28</v>
      </c>
    </row>
    <row r="4" spans="2:24" thickBot="1" x14ac:dyDescent="0.4">
      <c r="B4" s="76"/>
      <c r="C4" s="76"/>
      <c r="D4" s="76"/>
      <c r="E4" s="76"/>
      <c r="F4" s="887"/>
      <c r="G4" s="3"/>
      <c r="H4" s="3"/>
      <c r="I4" s="3"/>
      <c r="J4" s="112"/>
      <c r="K4" s="3"/>
      <c r="L4" s="3"/>
      <c r="M4" s="3"/>
      <c r="N4" s="3"/>
      <c r="O4" s="3"/>
      <c r="P4" s="3"/>
      <c r="Q4" s="3"/>
      <c r="R4" s="3"/>
      <c r="S4" s="3"/>
      <c r="T4" s="112"/>
      <c r="U4" s="3"/>
      <c r="V4" s="3"/>
      <c r="W4" s="3"/>
      <c r="X4" s="91"/>
    </row>
    <row r="5" spans="2:24" ht="29.5" thickBot="1" x14ac:dyDescent="0.4">
      <c r="B5" s="1044" t="s">
        <v>998</v>
      </c>
      <c r="C5" s="1044"/>
      <c r="D5" s="890">
        <f>SUM(D6:D39)</f>
        <v>223</v>
      </c>
      <c r="E5" s="926" t="s">
        <v>988</v>
      </c>
      <c r="F5" s="931">
        <f>SUM(F6:F39)*0.95</f>
        <v>3970.7434999999996</v>
      </c>
      <c r="G5" s="393"/>
      <c r="H5" s="394"/>
      <c r="I5" s="395"/>
      <c r="J5" s="396"/>
      <c r="K5" s="397"/>
      <c r="L5" s="398"/>
      <c r="M5" s="399"/>
      <c r="N5" s="400"/>
      <c r="O5" s="401"/>
      <c r="P5" s="402"/>
      <c r="Q5" s="403"/>
      <c r="R5" s="404"/>
      <c r="S5" s="405"/>
      <c r="T5" s="406"/>
      <c r="U5" s="449">
        <f t="shared" ref="U5" si="0">SUM(G5:T5)</f>
        <v>0</v>
      </c>
      <c r="V5" s="449">
        <f t="shared" ref="V5:V39" si="1">D5*U5</f>
        <v>0</v>
      </c>
      <c r="W5" s="449">
        <f t="shared" ref="W5" si="2">U5*1.48</f>
        <v>0</v>
      </c>
      <c r="X5" s="450">
        <f t="shared" ref="X5" si="3">F5*U5</f>
        <v>0</v>
      </c>
    </row>
    <row r="6" spans="2:24" ht="129.75" customHeight="1" thickBot="1" x14ac:dyDescent="0.4">
      <c r="B6" s="446" t="s">
        <v>383</v>
      </c>
      <c r="C6" s="447"/>
      <c r="D6" s="448">
        <v>8</v>
      </c>
      <c r="E6" s="448" t="s">
        <v>384</v>
      </c>
      <c r="F6" s="884">
        <v>95.79</v>
      </c>
      <c r="G6" s="393"/>
      <c r="H6" s="394"/>
      <c r="I6" s="395"/>
      <c r="J6" s="396"/>
      <c r="K6" s="397"/>
      <c r="L6" s="398"/>
      <c r="M6" s="399"/>
      <c r="N6" s="400"/>
      <c r="O6" s="401"/>
      <c r="P6" s="402"/>
      <c r="Q6" s="403"/>
      <c r="R6" s="404"/>
      <c r="S6" s="405"/>
      <c r="T6" s="406"/>
      <c r="U6" s="449">
        <f t="shared" ref="U6:U39" si="4">SUM(G6:T6)</f>
        <v>0</v>
      </c>
      <c r="V6" s="449">
        <f t="shared" si="1"/>
        <v>0</v>
      </c>
      <c r="W6" s="449">
        <f t="shared" ref="W6:W8" si="5">U6*1.48</f>
        <v>0</v>
      </c>
      <c r="X6" s="450">
        <f t="shared" ref="X6:X8" si="6">F6*U6</f>
        <v>0</v>
      </c>
    </row>
    <row r="7" spans="2:24" ht="129.75" customHeight="1" thickBot="1" x14ac:dyDescent="0.4">
      <c r="B7" s="446" t="s">
        <v>385</v>
      </c>
      <c r="C7" s="447"/>
      <c r="D7" s="448">
        <v>10</v>
      </c>
      <c r="E7" s="448" t="s">
        <v>386</v>
      </c>
      <c r="F7" s="884">
        <v>133.9</v>
      </c>
      <c r="G7" s="393"/>
      <c r="H7" s="394"/>
      <c r="I7" s="395"/>
      <c r="J7" s="396"/>
      <c r="K7" s="397"/>
      <c r="L7" s="398"/>
      <c r="M7" s="399"/>
      <c r="N7" s="400"/>
      <c r="O7" s="401"/>
      <c r="P7" s="402"/>
      <c r="Q7" s="403"/>
      <c r="R7" s="404"/>
      <c r="S7" s="405"/>
      <c r="T7" s="406"/>
      <c r="U7" s="449">
        <f t="shared" si="4"/>
        <v>0</v>
      </c>
      <c r="V7" s="449">
        <f t="shared" si="1"/>
        <v>0</v>
      </c>
      <c r="W7" s="449">
        <f t="shared" si="5"/>
        <v>0</v>
      </c>
      <c r="X7" s="450">
        <f t="shared" si="6"/>
        <v>0</v>
      </c>
    </row>
    <row r="8" spans="2:24" ht="129.75" customHeight="1" thickBot="1" x14ac:dyDescent="0.4">
      <c r="B8" s="446" t="s">
        <v>337</v>
      </c>
      <c r="C8" s="447"/>
      <c r="D8" s="448">
        <v>5</v>
      </c>
      <c r="E8" s="448" t="s">
        <v>387</v>
      </c>
      <c r="F8" s="884">
        <v>85.490000000000009</v>
      </c>
      <c r="G8" s="393"/>
      <c r="H8" s="394"/>
      <c r="I8" s="395"/>
      <c r="J8" s="396"/>
      <c r="K8" s="397"/>
      <c r="L8" s="398"/>
      <c r="M8" s="399"/>
      <c r="N8" s="400"/>
      <c r="O8" s="401"/>
      <c r="P8" s="402"/>
      <c r="Q8" s="403"/>
      <c r="R8" s="404"/>
      <c r="S8" s="405"/>
      <c r="T8" s="406"/>
      <c r="U8" s="449">
        <f t="shared" si="4"/>
        <v>0</v>
      </c>
      <c r="V8" s="449">
        <f t="shared" si="1"/>
        <v>0</v>
      </c>
      <c r="W8" s="449">
        <f t="shared" si="5"/>
        <v>0</v>
      </c>
      <c r="X8" s="450">
        <f t="shared" si="6"/>
        <v>0</v>
      </c>
    </row>
    <row r="9" spans="2:24" ht="129.75" customHeight="1" thickBot="1" x14ac:dyDescent="0.4">
      <c r="B9" s="142" t="s">
        <v>270</v>
      </c>
      <c r="C9" s="143"/>
      <c r="D9" s="144">
        <v>10</v>
      </c>
      <c r="E9" s="144" t="s">
        <v>388</v>
      </c>
      <c r="F9" s="884">
        <v>80.34</v>
      </c>
      <c r="G9" s="146"/>
      <c r="H9" s="147"/>
      <c r="I9" s="148"/>
      <c r="J9" s="149"/>
      <c r="K9" s="150"/>
      <c r="L9" s="151"/>
      <c r="M9" s="152"/>
      <c r="N9" s="153"/>
      <c r="O9" s="154"/>
      <c r="P9" s="155"/>
      <c r="Q9" s="156"/>
      <c r="R9" s="157"/>
      <c r="S9" s="158"/>
      <c r="T9" s="159"/>
      <c r="U9" s="449">
        <f t="shared" si="4"/>
        <v>0</v>
      </c>
      <c r="V9" s="449">
        <f t="shared" si="1"/>
        <v>0</v>
      </c>
      <c r="W9" s="160">
        <f>U9*1.1</f>
        <v>0</v>
      </c>
      <c r="X9" s="161">
        <f>U9*F9</f>
        <v>0</v>
      </c>
    </row>
    <row r="10" spans="2:24" ht="129.75" customHeight="1" thickBot="1" x14ac:dyDescent="0.4">
      <c r="B10" s="265" t="s">
        <v>85</v>
      </c>
      <c r="C10" s="165"/>
      <c r="D10" s="113">
        <v>5</v>
      </c>
      <c r="E10" s="113" t="s">
        <v>389</v>
      </c>
      <c r="F10" s="884">
        <v>75.19</v>
      </c>
      <c r="G10" s="115"/>
      <c r="H10" s="116"/>
      <c r="I10" s="139"/>
      <c r="J10" s="132"/>
      <c r="K10" s="140"/>
      <c r="L10" s="120"/>
      <c r="M10" s="121"/>
      <c r="N10" s="122"/>
      <c r="O10" s="123"/>
      <c r="P10" s="124"/>
      <c r="Q10" s="125"/>
      <c r="R10" s="126"/>
      <c r="S10" s="127"/>
      <c r="T10" s="128"/>
      <c r="U10" s="449">
        <f t="shared" si="4"/>
        <v>0</v>
      </c>
      <c r="V10" s="449">
        <f t="shared" si="1"/>
        <v>0</v>
      </c>
      <c r="W10" s="129">
        <f>U10*1.23</f>
        <v>0</v>
      </c>
      <c r="X10" s="166">
        <f t="shared" ref="X10:X37" si="7">F10*U10</f>
        <v>0</v>
      </c>
    </row>
    <row r="11" spans="2:24" ht="129.75" customHeight="1" thickBot="1" x14ac:dyDescent="0.4">
      <c r="B11" s="142" t="s">
        <v>83</v>
      </c>
      <c r="C11" s="143"/>
      <c r="D11" s="144">
        <v>10</v>
      </c>
      <c r="E11" s="144" t="s">
        <v>390</v>
      </c>
      <c r="F11" s="884">
        <v>83.43</v>
      </c>
      <c r="G11" s="146"/>
      <c r="H11" s="147"/>
      <c r="I11" s="148"/>
      <c r="J11" s="149"/>
      <c r="K11" s="150"/>
      <c r="L11" s="151"/>
      <c r="M11" s="152"/>
      <c r="N11" s="153"/>
      <c r="O11" s="154"/>
      <c r="P11" s="155"/>
      <c r="Q11" s="156"/>
      <c r="R11" s="157"/>
      <c r="S11" s="158"/>
      <c r="T11" s="159"/>
      <c r="U11" s="449">
        <f t="shared" si="4"/>
        <v>0</v>
      </c>
      <c r="V11" s="449">
        <f t="shared" si="1"/>
        <v>0</v>
      </c>
      <c r="W11" s="160">
        <f>U11*1.1</f>
        <v>0</v>
      </c>
      <c r="X11" s="161">
        <f t="shared" si="7"/>
        <v>0</v>
      </c>
    </row>
    <row r="12" spans="2:24" ht="129.75" customHeight="1" thickBot="1" x14ac:dyDescent="0.4">
      <c r="B12" s="142" t="s">
        <v>391</v>
      </c>
      <c r="C12" s="143"/>
      <c r="D12" s="144">
        <v>5</v>
      </c>
      <c r="E12" s="144" t="s">
        <v>392</v>
      </c>
      <c r="F12" s="884">
        <v>91.67</v>
      </c>
      <c r="G12" s="146"/>
      <c r="H12" s="147"/>
      <c r="I12" s="148"/>
      <c r="J12" s="149"/>
      <c r="K12" s="150"/>
      <c r="L12" s="151"/>
      <c r="M12" s="152"/>
      <c r="N12" s="153"/>
      <c r="O12" s="154"/>
      <c r="P12" s="155"/>
      <c r="Q12" s="156"/>
      <c r="R12" s="157"/>
      <c r="S12" s="158"/>
      <c r="T12" s="159"/>
      <c r="U12" s="449">
        <f t="shared" si="4"/>
        <v>0</v>
      </c>
      <c r="V12" s="449">
        <f t="shared" si="1"/>
        <v>0</v>
      </c>
      <c r="W12" s="160">
        <f>U12*1.58</f>
        <v>0</v>
      </c>
      <c r="X12" s="161">
        <f t="shared" si="7"/>
        <v>0</v>
      </c>
    </row>
    <row r="13" spans="2:24" ht="129.75" customHeight="1" thickBot="1" x14ac:dyDescent="0.4">
      <c r="B13" s="142" t="s">
        <v>263</v>
      </c>
      <c r="C13" s="143"/>
      <c r="D13" s="144">
        <v>10</v>
      </c>
      <c r="E13" s="144" t="s">
        <v>393</v>
      </c>
      <c r="F13" s="884">
        <v>98.88</v>
      </c>
      <c r="G13" s="146"/>
      <c r="H13" s="147"/>
      <c r="I13" s="148"/>
      <c r="J13" s="451"/>
      <c r="K13" s="150"/>
      <c r="L13" s="151"/>
      <c r="M13" s="152"/>
      <c r="N13" s="153"/>
      <c r="O13" s="154"/>
      <c r="P13" s="155"/>
      <c r="Q13" s="156"/>
      <c r="R13" s="157"/>
      <c r="S13" s="158"/>
      <c r="T13" s="159"/>
      <c r="U13" s="449">
        <f t="shared" si="4"/>
        <v>0</v>
      </c>
      <c r="V13" s="449">
        <f t="shared" si="1"/>
        <v>0</v>
      </c>
      <c r="W13" s="160">
        <f>U13*1.43</f>
        <v>0</v>
      </c>
      <c r="X13" s="161">
        <f t="shared" si="7"/>
        <v>0</v>
      </c>
    </row>
    <row r="14" spans="2:24" ht="129.75" customHeight="1" thickBot="1" x14ac:dyDescent="0.4">
      <c r="B14" s="142" t="s">
        <v>394</v>
      </c>
      <c r="C14" s="143"/>
      <c r="D14" s="144">
        <v>10</v>
      </c>
      <c r="E14" s="144" t="s">
        <v>395</v>
      </c>
      <c r="F14" s="884">
        <v>149.35</v>
      </c>
      <c r="G14" s="146"/>
      <c r="H14" s="147"/>
      <c r="I14" s="148"/>
      <c r="J14" s="149"/>
      <c r="K14" s="150"/>
      <c r="L14" s="151"/>
      <c r="M14" s="152"/>
      <c r="N14" s="153"/>
      <c r="O14" s="154"/>
      <c r="P14" s="155"/>
      <c r="Q14" s="156"/>
      <c r="R14" s="157"/>
      <c r="S14" s="158"/>
      <c r="T14" s="159"/>
      <c r="U14" s="449">
        <f t="shared" si="4"/>
        <v>0</v>
      </c>
      <c r="V14" s="449">
        <f t="shared" si="1"/>
        <v>0</v>
      </c>
      <c r="W14" s="160">
        <f>U14*2.52</f>
        <v>0</v>
      </c>
      <c r="X14" s="161">
        <f t="shared" si="7"/>
        <v>0</v>
      </c>
    </row>
    <row r="15" spans="2:24" ht="129.75" customHeight="1" thickBot="1" x14ac:dyDescent="0.4">
      <c r="B15" s="265" t="s">
        <v>396</v>
      </c>
      <c r="C15" s="165"/>
      <c r="D15" s="113">
        <v>10</v>
      </c>
      <c r="E15" s="113" t="s">
        <v>397</v>
      </c>
      <c r="F15" s="884">
        <v>101.97</v>
      </c>
      <c r="G15" s="115"/>
      <c r="H15" s="116"/>
      <c r="I15" s="139"/>
      <c r="J15" s="132"/>
      <c r="K15" s="140"/>
      <c r="L15" s="120"/>
      <c r="M15" s="121"/>
      <c r="N15" s="122"/>
      <c r="O15" s="123"/>
      <c r="P15" s="124"/>
      <c r="Q15" s="125"/>
      <c r="R15" s="126"/>
      <c r="S15" s="127"/>
      <c r="T15" s="128"/>
      <c r="U15" s="449">
        <f t="shared" si="4"/>
        <v>0</v>
      </c>
      <c r="V15" s="449">
        <f t="shared" si="1"/>
        <v>0</v>
      </c>
      <c r="W15" s="129">
        <f>U15*1.5</f>
        <v>0</v>
      </c>
      <c r="X15" s="166">
        <f t="shared" si="7"/>
        <v>0</v>
      </c>
    </row>
    <row r="16" spans="2:24" ht="129.75" customHeight="1" thickBot="1" x14ac:dyDescent="0.4">
      <c r="B16" s="265" t="s">
        <v>398</v>
      </c>
      <c r="C16" s="165"/>
      <c r="D16" s="113">
        <v>10</v>
      </c>
      <c r="E16" s="113" t="s">
        <v>399</v>
      </c>
      <c r="F16" s="884">
        <v>124.63000000000001</v>
      </c>
      <c r="G16" s="115"/>
      <c r="H16" s="116"/>
      <c r="I16" s="139"/>
      <c r="J16" s="132"/>
      <c r="K16" s="140"/>
      <c r="L16" s="120"/>
      <c r="M16" s="121"/>
      <c r="N16" s="122"/>
      <c r="O16" s="123"/>
      <c r="P16" s="124"/>
      <c r="Q16" s="125"/>
      <c r="R16" s="126"/>
      <c r="S16" s="127"/>
      <c r="T16" s="128"/>
      <c r="U16" s="449">
        <f t="shared" si="4"/>
        <v>0</v>
      </c>
      <c r="V16" s="449">
        <f t="shared" si="1"/>
        <v>0</v>
      </c>
      <c r="W16" s="129">
        <f>U16*1.98</f>
        <v>0</v>
      </c>
      <c r="X16" s="166">
        <f t="shared" si="7"/>
        <v>0</v>
      </c>
    </row>
    <row r="17" spans="2:24" ht="129.75" customHeight="1" thickBot="1" x14ac:dyDescent="0.4">
      <c r="B17" s="265" t="s">
        <v>400</v>
      </c>
      <c r="C17" s="165"/>
      <c r="D17" s="113">
        <v>10</v>
      </c>
      <c r="E17" s="113" t="s">
        <v>401</v>
      </c>
      <c r="F17" s="884">
        <v>106.09</v>
      </c>
      <c r="G17" s="115"/>
      <c r="H17" s="116"/>
      <c r="I17" s="139"/>
      <c r="J17" s="132"/>
      <c r="K17" s="140"/>
      <c r="L17" s="120"/>
      <c r="M17" s="121"/>
      <c r="N17" s="122"/>
      <c r="O17" s="123"/>
      <c r="P17" s="124"/>
      <c r="Q17" s="125"/>
      <c r="R17" s="126"/>
      <c r="S17" s="127"/>
      <c r="T17" s="128"/>
      <c r="U17" s="449">
        <f t="shared" si="4"/>
        <v>0</v>
      </c>
      <c r="V17" s="449">
        <f t="shared" si="1"/>
        <v>0</v>
      </c>
      <c r="W17" s="129">
        <f>U17*1.58</f>
        <v>0</v>
      </c>
      <c r="X17" s="166">
        <f t="shared" si="7"/>
        <v>0</v>
      </c>
    </row>
    <row r="18" spans="2:24" ht="129.75" customHeight="1" thickBot="1" x14ac:dyDescent="0.4">
      <c r="B18" s="265" t="s">
        <v>402</v>
      </c>
      <c r="C18" s="165"/>
      <c r="D18" s="113">
        <v>10</v>
      </c>
      <c r="E18" s="113" t="s">
        <v>403</v>
      </c>
      <c r="F18" s="884">
        <v>103</v>
      </c>
      <c r="G18" s="115"/>
      <c r="H18" s="116"/>
      <c r="I18" s="139"/>
      <c r="J18" s="132"/>
      <c r="K18" s="140"/>
      <c r="L18" s="120"/>
      <c r="M18" s="121"/>
      <c r="N18" s="122"/>
      <c r="O18" s="123"/>
      <c r="P18" s="124"/>
      <c r="Q18" s="125"/>
      <c r="R18" s="126"/>
      <c r="S18" s="127"/>
      <c r="T18" s="128"/>
      <c r="U18" s="449">
        <f t="shared" si="4"/>
        <v>0</v>
      </c>
      <c r="V18" s="449">
        <f t="shared" si="1"/>
        <v>0</v>
      </c>
      <c r="W18" s="129">
        <f>U18*1.52</f>
        <v>0</v>
      </c>
      <c r="X18" s="166">
        <f t="shared" si="7"/>
        <v>0</v>
      </c>
    </row>
    <row r="19" spans="2:24" ht="129.75" customHeight="1" thickBot="1" x14ac:dyDescent="0.4">
      <c r="B19" s="265" t="s">
        <v>404</v>
      </c>
      <c r="C19" s="165"/>
      <c r="D19" s="113">
        <v>3</v>
      </c>
      <c r="E19" s="113" t="s">
        <v>405</v>
      </c>
      <c r="F19" s="884">
        <v>92.7</v>
      </c>
      <c r="G19" s="115"/>
      <c r="H19" s="116"/>
      <c r="I19" s="139"/>
      <c r="J19" s="132"/>
      <c r="K19" s="140"/>
      <c r="L19" s="120"/>
      <c r="M19" s="121"/>
      <c r="N19" s="122"/>
      <c r="O19" s="123"/>
      <c r="P19" s="124"/>
      <c r="Q19" s="125"/>
      <c r="R19" s="126"/>
      <c r="S19" s="127"/>
      <c r="T19" s="128"/>
      <c r="U19" s="449">
        <f t="shared" si="4"/>
        <v>0</v>
      </c>
      <c r="V19" s="449">
        <f t="shared" si="1"/>
        <v>0</v>
      </c>
      <c r="W19" s="129">
        <f>U19*0.95</f>
        <v>0</v>
      </c>
      <c r="X19" s="166">
        <f t="shared" si="7"/>
        <v>0</v>
      </c>
    </row>
    <row r="20" spans="2:24" ht="129.75" customHeight="1" thickBot="1" x14ac:dyDescent="0.4">
      <c r="B20" s="265" t="s">
        <v>284</v>
      </c>
      <c r="C20" s="165"/>
      <c r="D20" s="113">
        <v>10</v>
      </c>
      <c r="E20" s="113" t="s">
        <v>406</v>
      </c>
      <c r="F20" s="884">
        <v>142.14000000000001</v>
      </c>
      <c r="G20" s="115"/>
      <c r="H20" s="116"/>
      <c r="I20" s="139"/>
      <c r="J20" s="132"/>
      <c r="K20" s="140"/>
      <c r="L20" s="120"/>
      <c r="M20" s="121"/>
      <c r="N20" s="122"/>
      <c r="O20" s="123"/>
      <c r="P20" s="124"/>
      <c r="Q20" s="125"/>
      <c r="R20" s="126"/>
      <c r="S20" s="127"/>
      <c r="T20" s="128"/>
      <c r="U20" s="449">
        <f t="shared" si="4"/>
        <v>0</v>
      </c>
      <c r="V20" s="449">
        <f t="shared" si="1"/>
        <v>0</v>
      </c>
      <c r="W20" s="129">
        <f>U20*2.4</f>
        <v>0</v>
      </c>
      <c r="X20" s="166">
        <f t="shared" si="7"/>
        <v>0</v>
      </c>
    </row>
    <row r="21" spans="2:24" ht="129.75" customHeight="1" thickBot="1" x14ac:dyDescent="0.4">
      <c r="B21" s="265" t="s">
        <v>407</v>
      </c>
      <c r="C21" s="165"/>
      <c r="D21" s="113">
        <v>10</v>
      </c>
      <c r="E21" s="113" t="s">
        <v>408</v>
      </c>
      <c r="F21" s="884">
        <v>185.4</v>
      </c>
      <c r="G21" s="115"/>
      <c r="H21" s="116"/>
      <c r="I21" s="139"/>
      <c r="J21" s="132"/>
      <c r="K21" s="140"/>
      <c r="L21" s="120"/>
      <c r="M21" s="121"/>
      <c r="N21" s="122"/>
      <c r="O21" s="123"/>
      <c r="P21" s="124"/>
      <c r="Q21" s="125"/>
      <c r="R21" s="126"/>
      <c r="S21" s="127"/>
      <c r="T21" s="128"/>
      <c r="U21" s="449">
        <f t="shared" si="4"/>
        <v>0</v>
      </c>
      <c r="V21" s="449">
        <f t="shared" si="1"/>
        <v>0</v>
      </c>
      <c r="W21" s="129">
        <f>U21*3.31</f>
        <v>0</v>
      </c>
      <c r="X21" s="166">
        <f t="shared" si="7"/>
        <v>0</v>
      </c>
    </row>
    <row r="22" spans="2:24" ht="129.75" customHeight="1" thickBot="1" x14ac:dyDescent="0.4">
      <c r="B22" s="265" t="s">
        <v>409</v>
      </c>
      <c r="C22" s="165"/>
      <c r="D22" s="113">
        <v>5</v>
      </c>
      <c r="E22" s="113" t="s">
        <v>410</v>
      </c>
      <c r="F22" s="884">
        <v>109.18</v>
      </c>
      <c r="G22" s="115"/>
      <c r="H22" s="116"/>
      <c r="I22" s="139"/>
      <c r="J22" s="132"/>
      <c r="K22" s="140"/>
      <c r="L22" s="120"/>
      <c r="M22" s="121"/>
      <c r="N22" s="122"/>
      <c r="O22" s="123"/>
      <c r="P22" s="124"/>
      <c r="Q22" s="125"/>
      <c r="R22" s="126"/>
      <c r="S22" s="127"/>
      <c r="T22" s="128"/>
      <c r="U22" s="449">
        <f t="shared" si="4"/>
        <v>0</v>
      </c>
      <c r="V22" s="449">
        <f t="shared" si="1"/>
        <v>0</v>
      </c>
      <c r="W22" s="129">
        <f>U22*1.96</f>
        <v>0</v>
      </c>
      <c r="X22" s="166">
        <f t="shared" si="7"/>
        <v>0</v>
      </c>
    </row>
    <row r="23" spans="2:24" ht="129.75" customHeight="1" thickBot="1" x14ac:dyDescent="0.4">
      <c r="B23" s="265" t="s">
        <v>411</v>
      </c>
      <c r="C23" s="165"/>
      <c r="D23" s="113">
        <v>5</v>
      </c>
      <c r="E23" s="113" t="s">
        <v>412</v>
      </c>
      <c r="F23" s="884">
        <v>69.010000000000005</v>
      </c>
      <c r="G23" s="115"/>
      <c r="H23" s="116"/>
      <c r="I23" s="139"/>
      <c r="J23" s="118"/>
      <c r="K23" s="140"/>
      <c r="L23" s="120"/>
      <c r="M23" s="121"/>
      <c r="N23" s="122"/>
      <c r="O23" s="123"/>
      <c r="P23" s="124"/>
      <c r="Q23" s="125"/>
      <c r="R23" s="126"/>
      <c r="S23" s="127"/>
      <c r="T23" s="128"/>
      <c r="U23" s="449">
        <f t="shared" si="4"/>
        <v>0</v>
      </c>
      <c r="V23" s="449">
        <f t="shared" si="1"/>
        <v>0</v>
      </c>
      <c r="W23" s="129">
        <f>U23*1.1</f>
        <v>0</v>
      </c>
      <c r="X23" s="166">
        <f t="shared" si="7"/>
        <v>0</v>
      </c>
    </row>
    <row r="24" spans="2:24" ht="129.75" customHeight="1" thickBot="1" x14ac:dyDescent="0.4">
      <c r="B24" s="265" t="s">
        <v>413</v>
      </c>
      <c r="C24" s="165"/>
      <c r="D24" s="113">
        <v>5</v>
      </c>
      <c r="E24" s="113" t="s">
        <v>414</v>
      </c>
      <c r="F24" s="884">
        <v>71.070000000000007</v>
      </c>
      <c r="G24" s="115"/>
      <c r="H24" s="116"/>
      <c r="I24" s="139"/>
      <c r="J24" s="132"/>
      <c r="K24" s="140"/>
      <c r="L24" s="120"/>
      <c r="M24" s="121"/>
      <c r="N24" s="122"/>
      <c r="O24" s="123"/>
      <c r="P24" s="124"/>
      <c r="Q24" s="125"/>
      <c r="R24" s="126"/>
      <c r="S24" s="127"/>
      <c r="T24" s="128"/>
      <c r="U24" s="449">
        <f t="shared" si="4"/>
        <v>0</v>
      </c>
      <c r="V24" s="449">
        <f t="shared" si="1"/>
        <v>0</v>
      </c>
      <c r="W24" s="129">
        <f>U24*1.14</f>
        <v>0</v>
      </c>
      <c r="X24" s="166">
        <f t="shared" si="7"/>
        <v>0</v>
      </c>
    </row>
    <row r="25" spans="2:24" ht="129.75" customHeight="1" thickBot="1" x14ac:dyDescent="0.4">
      <c r="B25" s="265" t="s">
        <v>1008</v>
      </c>
      <c r="C25" s="165"/>
      <c r="D25" s="113">
        <v>5</v>
      </c>
      <c r="E25" s="113" t="s">
        <v>1007</v>
      </c>
      <c r="F25" s="884">
        <v>172</v>
      </c>
      <c r="G25" s="115"/>
      <c r="H25" s="116"/>
      <c r="I25" s="139"/>
      <c r="J25" s="132"/>
      <c r="K25" s="140"/>
      <c r="L25" s="120"/>
      <c r="M25" s="121"/>
      <c r="N25" s="122"/>
      <c r="O25" s="123"/>
      <c r="P25" s="124"/>
      <c r="Q25" s="125"/>
      <c r="R25" s="126"/>
      <c r="S25" s="127"/>
      <c r="T25" s="128"/>
      <c r="U25" s="449">
        <f>SUM(G25:T25)</f>
        <v>0</v>
      </c>
      <c r="V25" s="449">
        <f t="shared" ref="V25" si="8">D25*U25</f>
        <v>0</v>
      </c>
      <c r="W25" s="129">
        <f>U25*0</f>
        <v>0</v>
      </c>
      <c r="X25" s="166">
        <f t="shared" ref="X25" si="9">F25*U25</f>
        <v>0</v>
      </c>
    </row>
    <row r="26" spans="2:24" ht="129.75" customHeight="1" thickBot="1" x14ac:dyDescent="0.4">
      <c r="B26" s="265" t="s">
        <v>415</v>
      </c>
      <c r="C26" s="165"/>
      <c r="D26" s="113">
        <v>5</v>
      </c>
      <c r="E26" s="113" t="s">
        <v>416</v>
      </c>
      <c r="F26" s="884">
        <v>145.22999999999999</v>
      </c>
      <c r="G26" s="115"/>
      <c r="H26" s="116"/>
      <c r="I26" s="139"/>
      <c r="J26" s="132"/>
      <c r="K26" s="140"/>
      <c r="L26" s="120"/>
      <c r="M26" s="121"/>
      <c r="N26" s="122"/>
      <c r="O26" s="123"/>
      <c r="P26" s="124"/>
      <c r="Q26" s="125"/>
      <c r="R26" s="126"/>
      <c r="S26" s="127"/>
      <c r="T26" s="128"/>
      <c r="U26" s="449">
        <f t="shared" si="4"/>
        <v>0</v>
      </c>
      <c r="V26" s="449">
        <f t="shared" si="1"/>
        <v>0</v>
      </c>
      <c r="W26" s="129">
        <f>U26*1.52</f>
        <v>0</v>
      </c>
      <c r="X26" s="166">
        <f t="shared" si="7"/>
        <v>0</v>
      </c>
    </row>
    <row r="27" spans="2:24" ht="129.75" customHeight="1" thickBot="1" x14ac:dyDescent="0.4">
      <c r="B27" s="265" t="s">
        <v>417</v>
      </c>
      <c r="C27" s="165"/>
      <c r="D27" s="113">
        <v>5</v>
      </c>
      <c r="E27" s="113" t="s">
        <v>418</v>
      </c>
      <c r="F27" s="884">
        <v>142.14000000000001</v>
      </c>
      <c r="G27" s="115"/>
      <c r="H27" s="116"/>
      <c r="I27" s="139"/>
      <c r="J27" s="132"/>
      <c r="K27" s="140"/>
      <c r="L27" s="120"/>
      <c r="M27" s="121"/>
      <c r="N27" s="122"/>
      <c r="O27" s="123"/>
      <c r="P27" s="124"/>
      <c r="Q27" s="125"/>
      <c r="R27" s="126"/>
      <c r="S27" s="127"/>
      <c r="T27" s="128"/>
      <c r="U27" s="449">
        <f t="shared" si="4"/>
        <v>0</v>
      </c>
      <c r="V27" s="449">
        <f t="shared" si="1"/>
        <v>0</v>
      </c>
      <c r="W27" s="129">
        <f>U27*2.68</f>
        <v>0</v>
      </c>
      <c r="X27" s="166">
        <f t="shared" si="7"/>
        <v>0</v>
      </c>
    </row>
    <row r="28" spans="2:24" ht="129.75" customHeight="1" thickBot="1" x14ac:dyDescent="0.4">
      <c r="B28" s="265" t="s">
        <v>419</v>
      </c>
      <c r="C28" s="165"/>
      <c r="D28" s="113">
        <v>5</v>
      </c>
      <c r="E28" s="113" t="s">
        <v>420</v>
      </c>
      <c r="F28" s="884">
        <v>111.24000000000001</v>
      </c>
      <c r="G28" s="115"/>
      <c r="H28" s="116"/>
      <c r="I28" s="139"/>
      <c r="J28" s="118"/>
      <c r="K28" s="140"/>
      <c r="L28" s="120"/>
      <c r="M28" s="121"/>
      <c r="N28" s="122"/>
      <c r="O28" s="123"/>
      <c r="P28" s="124"/>
      <c r="Q28" s="125"/>
      <c r="R28" s="126"/>
      <c r="S28" s="127"/>
      <c r="T28" s="128"/>
      <c r="U28" s="449">
        <f t="shared" si="4"/>
        <v>0</v>
      </c>
      <c r="V28" s="449">
        <f t="shared" si="1"/>
        <v>0</v>
      </c>
      <c r="W28" s="129">
        <f>U28*2</f>
        <v>0</v>
      </c>
      <c r="X28" s="166">
        <f t="shared" si="7"/>
        <v>0</v>
      </c>
    </row>
    <row r="29" spans="2:24" ht="129.75" customHeight="1" thickBot="1" x14ac:dyDescent="0.4">
      <c r="B29" s="265" t="s">
        <v>421</v>
      </c>
      <c r="C29" s="165"/>
      <c r="D29" s="113">
        <v>5</v>
      </c>
      <c r="E29" s="113" t="s">
        <v>422</v>
      </c>
      <c r="F29" s="884">
        <v>151.41</v>
      </c>
      <c r="G29" s="115"/>
      <c r="H29" s="116"/>
      <c r="I29" s="139"/>
      <c r="J29" s="132"/>
      <c r="K29" s="140"/>
      <c r="L29" s="120"/>
      <c r="M29" s="121"/>
      <c r="N29" s="122"/>
      <c r="O29" s="123"/>
      <c r="P29" s="124"/>
      <c r="Q29" s="125"/>
      <c r="R29" s="126"/>
      <c r="S29" s="127"/>
      <c r="T29" s="128"/>
      <c r="U29" s="449">
        <f t="shared" si="4"/>
        <v>0</v>
      </c>
      <c r="V29" s="449">
        <f t="shared" si="1"/>
        <v>0</v>
      </c>
      <c r="W29" s="129">
        <f>U29*1.63</f>
        <v>0</v>
      </c>
      <c r="X29" s="166">
        <f t="shared" si="7"/>
        <v>0</v>
      </c>
    </row>
    <row r="30" spans="2:24" ht="129.75" customHeight="1" thickBot="1" x14ac:dyDescent="0.4">
      <c r="B30" s="265" t="s">
        <v>423</v>
      </c>
      <c r="C30" s="165"/>
      <c r="D30" s="113">
        <v>5</v>
      </c>
      <c r="E30" s="113" t="s">
        <v>424</v>
      </c>
      <c r="F30" s="884">
        <v>104.03</v>
      </c>
      <c r="G30" s="115"/>
      <c r="H30" s="116"/>
      <c r="I30" s="139"/>
      <c r="J30" s="132"/>
      <c r="K30" s="140"/>
      <c r="L30" s="120"/>
      <c r="M30" s="121"/>
      <c r="N30" s="122"/>
      <c r="O30" s="123"/>
      <c r="P30" s="124"/>
      <c r="Q30" s="125"/>
      <c r="R30" s="126"/>
      <c r="S30" s="127"/>
      <c r="T30" s="128"/>
      <c r="U30" s="449">
        <f t="shared" si="4"/>
        <v>0</v>
      </c>
      <c r="V30" s="449">
        <f t="shared" si="1"/>
        <v>0</v>
      </c>
      <c r="W30" s="129">
        <f>U30*1.86</f>
        <v>0</v>
      </c>
      <c r="X30" s="166">
        <f t="shared" si="7"/>
        <v>0</v>
      </c>
    </row>
    <row r="31" spans="2:24" ht="129.75" customHeight="1" thickBot="1" x14ac:dyDescent="0.4">
      <c r="B31" s="265" t="s">
        <v>425</v>
      </c>
      <c r="C31" s="165"/>
      <c r="D31" s="113">
        <v>3</v>
      </c>
      <c r="E31" s="113" t="s">
        <v>426</v>
      </c>
      <c r="F31" s="884">
        <v>123.60000000000001</v>
      </c>
      <c r="G31" s="115"/>
      <c r="H31" s="116"/>
      <c r="I31" s="139"/>
      <c r="J31" s="132"/>
      <c r="K31" s="140"/>
      <c r="L31" s="120"/>
      <c r="M31" s="121"/>
      <c r="N31" s="122"/>
      <c r="O31" s="123"/>
      <c r="P31" s="124"/>
      <c r="Q31" s="125"/>
      <c r="R31" s="126"/>
      <c r="S31" s="127"/>
      <c r="T31" s="128"/>
      <c r="U31" s="449">
        <f t="shared" si="4"/>
        <v>0</v>
      </c>
      <c r="V31" s="449">
        <f t="shared" si="1"/>
        <v>0</v>
      </c>
      <c r="W31" s="129">
        <f>U31*1.55</f>
        <v>0</v>
      </c>
      <c r="X31" s="166">
        <f t="shared" si="7"/>
        <v>0</v>
      </c>
    </row>
    <row r="32" spans="2:24" ht="129.75" customHeight="1" thickBot="1" x14ac:dyDescent="0.4">
      <c r="B32" s="452" t="s">
        <v>427</v>
      </c>
      <c r="C32" s="453"/>
      <c r="D32" s="454">
        <v>4</v>
      </c>
      <c r="E32" s="454" t="s">
        <v>428</v>
      </c>
      <c r="F32" s="884">
        <v>216.3</v>
      </c>
      <c r="G32" s="418"/>
      <c r="H32" s="419"/>
      <c r="I32" s="420"/>
      <c r="J32" s="421"/>
      <c r="K32" s="422"/>
      <c r="L32" s="423"/>
      <c r="M32" s="424"/>
      <c r="N32" s="425"/>
      <c r="O32" s="426"/>
      <c r="P32" s="427"/>
      <c r="Q32" s="428"/>
      <c r="R32" s="429"/>
      <c r="S32" s="430"/>
      <c r="T32" s="431"/>
      <c r="U32" s="449">
        <f t="shared" si="4"/>
        <v>0</v>
      </c>
      <c r="V32" s="449">
        <f t="shared" si="1"/>
        <v>0</v>
      </c>
      <c r="W32" s="432">
        <f>U32*3.02</f>
        <v>0</v>
      </c>
      <c r="X32" s="433">
        <f t="shared" si="7"/>
        <v>0</v>
      </c>
    </row>
    <row r="33" spans="2:24" ht="129.75" customHeight="1" thickBot="1" x14ac:dyDescent="0.4">
      <c r="B33" s="452" t="s">
        <v>429</v>
      </c>
      <c r="C33" s="453"/>
      <c r="D33" s="454">
        <v>5</v>
      </c>
      <c r="E33" s="454" t="s">
        <v>430</v>
      </c>
      <c r="F33" s="884">
        <v>195.70000000000002</v>
      </c>
      <c r="G33" s="418"/>
      <c r="H33" s="419"/>
      <c r="I33" s="420"/>
      <c r="J33" s="421"/>
      <c r="K33" s="422"/>
      <c r="L33" s="423"/>
      <c r="M33" s="424"/>
      <c r="N33" s="425"/>
      <c r="O33" s="426"/>
      <c r="P33" s="427"/>
      <c r="Q33" s="428"/>
      <c r="R33" s="429"/>
      <c r="S33" s="430"/>
      <c r="T33" s="431"/>
      <c r="U33" s="449">
        <f t="shared" si="4"/>
        <v>0</v>
      </c>
      <c r="V33" s="449">
        <f t="shared" si="1"/>
        <v>0</v>
      </c>
      <c r="W33" s="432">
        <f>U33*2.46</f>
        <v>0</v>
      </c>
      <c r="X33" s="433">
        <f t="shared" si="7"/>
        <v>0</v>
      </c>
    </row>
    <row r="34" spans="2:24" ht="129.75" customHeight="1" thickBot="1" x14ac:dyDescent="0.4">
      <c r="B34" s="452" t="s">
        <v>431</v>
      </c>
      <c r="C34" s="453"/>
      <c r="D34" s="454">
        <v>5</v>
      </c>
      <c r="E34" s="454" t="s">
        <v>432</v>
      </c>
      <c r="F34" s="884">
        <v>179.22</v>
      </c>
      <c r="G34" s="418"/>
      <c r="H34" s="419"/>
      <c r="I34" s="420"/>
      <c r="J34" s="421"/>
      <c r="K34" s="422"/>
      <c r="L34" s="423"/>
      <c r="M34" s="424"/>
      <c r="N34" s="425"/>
      <c r="O34" s="426"/>
      <c r="P34" s="427"/>
      <c r="Q34" s="428"/>
      <c r="R34" s="429"/>
      <c r="S34" s="430"/>
      <c r="T34" s="431"/>
      <c r="U34" s="449">
        <f t="shared" si="4"/>
        <v>0</v>
      </c>
      <c r="V34" s="449">
        <f t="shared" si="1"/>
        <v>0</v>
      </c>
      <c r="W34" s="432">
        <f>U34*3.46</f>
        <v>0</v>
      </c>
      <c r="X34" s="433">
        <f t="shared" si="7"/>
        <v>0</v>
      </c>
    </row>
    <row r="35" spans="2:24" ht="129.75" customHeight="1" thickBot="1" x14ac:dyDescent="0.4">
      <c r="B35" s="265" t="s">
        <v>433</v>
      </c>
      <c r="C35" s="165"/>
      <c r="D35" s="113">
        <v>5</v>
      </c>
      <c r="E35" s="113" t="s">
        <v>434</v>
      </c>
      <c r="F35" s="884">
        <v>73.13</v>
      </c>
      <c r="G35" s="115"/>
      <c r="H35" s="116"/>
      <c r="I35" s="139"/>
      <c r="J35" s="118"/>
      <c r="K35" s="140"/>
      <c r="L35" s="120"/>
      <c r="M35" s="121"/>
      <c r="N35" s="122"/>
      <c r="O35" s="123"/>
      <c r="P35" s="124"/>
      <c r="Q35" s="125"/>
      <c r="R35" s="126"/>
      <c r="S35" s="127"/>
      <c r="T35" s="128"/>
      <c r="U35" s="449">
        <f t="shared" si="4"/>
        <v>0</v>
      </c>
      <c r="V35" s="449">
        <f t="shared" si="1"/>
        <v>0</v>
      </c>
      <c r="W35" s="129">
        <f>U35*1.67</f>
        <v>0</v>
      </c>
      <c r="X35" s="166">
        <f t="shared" si="7"/>
        <v>0</v>
      </c>
    </row>
    <row r="36" spans="2:24" ht="129.75" customHeight="1" thickBot="1" x14ac:dyDescent="0.4">
      <c r="B36" s="265" t="s">
        <v>292</v>
      </c>
      <c r="C36" s="165"/>
      <c r="D36" s="113">
        <v>5</v>
      </c>
      <c r="E36" s="113" t="s">
        <v>435</v>
      </c>
      <c r="F36" s="884">
        <v>100.94</v>
      </c>
      <c r="G36" s="115"/>
      <c r="H36" s="116"/>
      <c r="I36" s="139"/>
      <c r="J36" s="118"/>
      <c r="K36" s="140"/>
      <c r="L36" s="120"/>
      <c r="M36" s="121"/>
      <c r="N36" s="122"/>
      <c r="O36" s="123"/>
      <c r="P36" s="124"/>
      <c r="Q36" s="125"/>
      <c r="R36" s="126"/>
      <c r="S36" s="127"/>
      <c r="T36" s="128"/>
      <c r="U36" s="449">
        <f t="shared" si="4"/>
        <v>0</v>
      </c>
      <c r="V36" s="449">
        <f t="shared" si="1"/>
        <v>0</v>
      </c>
      <c r="W36" s="129">
        <f>U36*1.79</f>
        <v>0</v>
      </c>
      <c r="X36" s="166">
        <f t="shared" si="7"/>
        <v>0</v>
      </c>
    </row>
    <row r="37" spans="2:24" ht="129.75" customHeight="1" thickBot="1" x14ac:dyDescent="0.4">
      <c r="B37" s="265" t="s">
        <v>294</v>
      </c>
      <c r="C37" s="165"/>
      <c r="D37" s="113">
        <v>5</v>
      </c>
      <c r="E37" s="113" t="s">
        <v>436</v>
      </c>
      <c r="F37" s="884">
        <v>123.60000000000001</v>
      </c>
      <c r="G37" s="115"/>
      <c r="H37" s="116"/>
      <c r="I37" s="139"/>
      <c r="J37" s="132"/>
      <c r="K37" s="140"/>
      <c r="L37" s="120"/>
      <c r="M37" s="121"/>
      <c r="N37" s="122"/>
      <c r="O37" s="123"/>
      <c r="P37" s="124"/>
      <c r="Q37" s="125"/>
      <c r="R37" s="126"/>
      <c r="S37" s="127"/>
      <c r="T37" s="128"/>
      <c r="U37" s="449">
        <f t="shared" si="4"/>
        <v>0</v>
      </c>
      <c r="V37" s="449">
        <f t="shared" si="1"/>
        <v>0</v>
      </c>
      <c r="W37" s="129">
        <f>U37*2.27</f>
        <v>0</v>
      </c>
      <c r="X37" s="166">
        <f t="shared" si="7"/>
        <v>0</v>
      </c>
    </row>
    <row r="38" spans="2:24" ht="129.75" customHeight="1" thickBot="1" x14ac:dyDescent="0.4">
      <c r="B38" s="452" t="s">
        <v>437</v>
      </c>
      <c r="C38" s="453"/>
      <c r="D38" s="454">
        <v>5</v>
      </c>
      <c r="E38" s="454" t="s">
        <v>438</v>
      </c>
      <c r="F38" s="884">
        <v>161.71</v>
      </c>
      <c r="G38" s="418"/>
      <c r="H38" s="419"/>
      <c r="I38" s="420"/>
      <c r="J38" s="421"/>
      <c r="K38" s="422"/>
      <c r="L38" s="423"/>
      <c r="M38" s="424"/>
      <c r="N38" s="425"/>
      <c r="O38" s="426"/>
      <c r="P38" s="427"/>
      <c r="Q38" s="428"/>
      <c r="R38" s="429"/>
      <c r="S38" s="430"/>
      <c r="T38" s="431"/>
      <c r="U38" s="449">
        <f t="shared" si="4"/>
        <v>0</v>
      </c>
      <c r="V38" s="449">
        <f t="shared" si="1"/>
        <v>0</v>
      </c>
      <c r="W38" s="432">
        <f>U38*3.11</f>
        <v>0</v>
      </c>
      <c r="X38" s="433">
        <f t="shared" ref="X38:X39" si="10">+F38*U38</f>
        <v>0</v>
      </c>
    </row>
    <row r="39" spans="2:24" ht="129.75" customHeight="1" x14ac:dyDescent="0.35">
      <c r="B39" s="131" t="s">
        <v>298</v>
      </c>
      <c r="C39" s="114"/>
      <c r="D39" s="113">
        <v>5</v>
      </c>
      <c r="E39" s="113" t="s">
        <v>439</v>
      </c>
      <c r="F39" s="884">
        <v>180.25</v>
      </c>
      <c r="G39" s="418"/>
      <c r="H39" s="419"/>
      <c r="I39" s="420"/>
      <c r="J39" s="421"/>
      <c r="K39" s="422"/>
      <c r="L39" s="423"/>
      <c r="M39" s="424"/>
      <c r="N39" s="425"/>
      <c r="O39" s="426"/>
      <c r="P39" s="427"/>
      <c r="Q39" s="428"/>
      <c r="R39" s="429"/>
      <c r="S39" s="430"/>
      <c r="T39" s="431"/>
      <c r="U39" s="449">
        <f t="shared" si="4"/>
        <v>0</v>
      </c>
      <c r="V39" s="449">
        <f t="shared" si="1"/>
        <v>0</v>
      </c>
      <c r="W39" s="432">
        <f>U39*3.52</f>
        <v>0</v>
      </c>
      <c r="X39" s="433">
        <f t="shared" si="10"/>
        <v>0</v>
      </c>
    </row>
    <row r="40" spans="2:24" ht="15.75" customHeight="1" x14ac:dyDescent="0.35">
      <c r="B40" s="3"/>
      <c r="C40" s="3"/>
      <c r="D40" s="3"/>
      <c r="E40" s="3"/>
      <c r="F40" s="887"/>
      <c r="G40" s="435">
        <f>SUM(G5:G39)</f>
        <v>0</v>
      </c>
      <c r="H40" s="435">
        <f t="shared" ref="H40:W40" si="11">SUM(H5:H39)</f>
        <v>0</v>
      </c>
      <c r="I40" s="435">
        <f t="shared" si="11"/>
        <v>0</v>
      </c>
      <c r="J40" s="435">
        <f t="shared" si="11"/>
        <v>0</v>
      </c>
      <c r="K40" s="435">
        <f t="shared" si="11"/>
        <v>0</v>
      </c>
      <c r="L40" s="435">
        <f t="shared" si="11"/>
        <v>0</v>
      </c>
      <c r="M40" s="435">
        <f t="shared" si="11"/>
        <v>0</v>
      </c>
      <c r="N40" s="435">
        <f>SUM(N5:N39)</f>
        <v>0</v>
      </c>
      <c r="O40" s="435">
        <f t="shared" si="11"/>
        <v>0</v>
      </c>
      <c r="P40" s="435">
        <f t="shared" si="11"/>
        <v>0</v>
      </c>
      <c r="Q40" s="435">
        <f t="shared" si="11"/>
        <v>0</v>
      </c>
      <c r="R40" s="435">
        <f t="shared" si="11"/>
        <v>0</v>
      </c>
      <c r="S40" s="435">
        <f t="shared" si="11"/>
        <v>0</v>
      </c>
      <c r="T40" s="435">
        <f t="shared" si="11"/>
        <v>0</v>
      </c>
      <c r="U40" s="435">
        <f t="shared" si="11"/>
        <v>0</v>
      </c>
      <c r="V40" s="435">
        <f t="shared" si="11"/>
        <v>0</v>
      </c>
      <c r="W40" s="435">
        <f t="shared" si="11"/>
        <v>0</v>
      </c>
      <c r="X40" s="436">
        <f>SUM(X5:X39)</f>
        <v>0</v>
      </c>
    </row>
    <row r="41" spans="2:24" ht="15.75" customHeight="1" x14ac:dyDescent="0.35">
      <c r="F41" s="864"/>
    </row>
    <row r="42" spans="2:24" ht="15.75" customHeight="1" x14ac:dyDescent="0.35">
      <c r="F42" s="864"/>
    </row>
    <row r="43" spans="2:24" ht="15.75" customHeight="1" x14ac:dyDescent="0.35">
      <c r="F43" s="864"/>
    </row>
    <row r="44" spans="2:24" ht="15.75" customHeight="1" x14ac:dyDescent="0.35">
      <c r="F44" s="864"/>
    </row>
    <row r="45" spans="2:24" ht="15.75" customHeight="1" x14ac:dyDescent="0.35">
      <c r="F45" s="864"/>
    </row>
    <row r="46" spans="2:24" ht="15.75" customHeight="1" x14ac:dyDescent="0.35">
      <c r="F46" s="864"/>
    </row>
    <row r="47" spans="2:24" ht="15.75" customHeight="1" x14ac:dyDescent="0.35">
      <c r="F47" s="864"/>
    </row>
    <row r="48" spans="2:24" ht="15.75" customHeight="1" x14ac:dyDescent="0.35">
      <c r="F48" s="864"/>
    </row>
    <row r="49" spans="6:6" ht="15.75" customHeight="1" x14ac:dyDescent="0.35">
      <c r="F49" s="864"/>
    </row>
    <row r="50" spans="6:6" ht="15.75" customHeight="1" x14ac:dyDescent="0.35">
      <c r="F50" s="864"/>
    </row>
    <row r="51" spans="6:6" ht="15.75" customHeight="1" x14ac:dyDescent="0.35">
      <c r="F51" s="864"/>
    </row>
    <row r="52" spans="6:6" ht="15.75" customHeight="1" x14ac:dyDescent="0.35">
      <c r="F52" s="864"/>
    </row>
    <row r="53" spans="6:6" ht="15.75" customHeight="1" x14ac:dyDescent="0.35">
      <c r="F53" s="864"/>
    </row>
    <row r="54" spans="6:6" ht="15.75" customHeight="1" x14ac:dyDescent="0.35">
      <c r="F54" s="864"/>
    </row>
    <row r="55" spans="6:6" ht="15.75" customHeight="1" x14ac:dyDescent="0.35">
      <c r="F55" s="864"/>
    </row>
    <row r="56" spans="6:6" ht="15.75" customHeight="1" x14ac:dyDescent="0.35">
      <c r="F56" s="864"/>
    </row>
    <row r="57" spans="6:6" ht="15.75" customHeight="1" x14ac:dyDescent="0.35">
      <c r="F57" s="864"/>
    </row>
    <row r="58" spans="6:6" ht="15.75" customHeight="1" x14ac:dyDescent="0.35">
      <c r="F58" s="864"/>
    </row>
    <row r="59" spans="6:6" ht="15.75" customHeight="1" x14ac:dyDescent="0.35">
      <c r="F59" s="864"/>
    </row>
    <row r="60" spans="6:6" ht="15.75" customHeight="1" x14ac:dyDescent="0.35">
      <c r="F60" s="864"/>
    </row>
    <row r="61" spans="6:6" ht="15.75" customHeight="1" x14ac:dyDescent="0.35">
      <c r="F61" s="864"/>
    </row>
    <row r="62" spans="6:6" ht="15.75" customHeight="1" x14ac:dyDescent="0.35">
      <c r="F62" s="864"/>
    </row>
    <row r="63" spans="6:6" ht="15.75" customHeight="1" x14ac:dyDescent="0.35">
      <c r="F63" s="864"/>
    </row>
    <row r="64" spans="6:6" ht="15.75" customHeight="1" x14ac:dyDescent="0.35">
      <c r="F64" s="864"/>
    </row>
    <row r="65" spans="6:6" ht="15.75" customHeight="1" x14ac:dyDescent="0.35">
      <c r="F65" s="864"/>
    </row>
    <row r="66" spans="6:6" ht="15.75" customHeight="1" x14ac:dyDescent="0.35">
      <c r="F66" s="864"/>
    </row>
    <row r="67" spans="6:6" ht="15.75" customHeight="1" x14ac:dyDescent="0.35">
      <c r="F67" s="864"/>
    </row>
    <row r="68" spans="6:6" ht="15.75" customHeight="1" x14ac:dyDescent="0.35">
      <c r="F68" s="864"/>
    </row>
    <row r="69" spans="6:6" ht="15.75" customHeight="1" x14ac:dyDescent="0.35">
      <c r="F69" s="864"/>
    </row>
    <row r="70" spans="6:6" ht="15.75" customHeight="1" x14ac:dyDescent="0.35">
      <c r="F70" s="864"/>
    </row>
    <row r="71" spans="6:6" ht="15.75" customHeight="1" x14ac:dyDescent="0.35">
      <c r="F71" s="864"/>
    </row>
    <row r="72" spans="6:6" ht="15.75" customHeight="1" x14ac:dyDescent="0.35">
      <c r="F72" s="864"/>
    </row>
    <row r="73" spans="6:6" ht="15.75" customHeight="1" x14ac:dyDescent="0.35">
      <c r="F73" s="864"/>
    </row>
    <row r="74" spans="6:6" ht="15.75" customHeight="1" x14ac:dyDescent="0.35">
      <c r="F74" s="864"/>
    </row>
    <row r="75" spans="6:6" ht="15.75" customHeight="1" x14ac:dyDescent="0.35">
      <c r="F75" s="864"/>
    </row>
    <row r="76" spans="6:6" ht="15.75" customHeight="1" x14ac:dyDescent="0.35">
      <c r="F76" s="864"/>
    </row>
    <row r="77" spans="6:6" ht="15.75" customHeight="1" x14ac:dyDescent="0.35">
      <c r="F77" s="864"/>
    </row>
    <row r="78" spans="6:6" ht="15.75" customHeight="1" x14ac:dyDescent="0.35">
      <c r="F78" s="864"/>
    </row>
    <row r="79" spans="6:6" ht="15.75" customHeight="1" x14ac:dyDescent="0.35">
      <c r="F79" s="864"/>
    </row>
    <row r="80" spans="6:6" ht="15.75" customHeight="1" x14ac:dyDescent="0.35">
      <c r="F80" s="864"/>
    </row>
    <row r="81" spans="6:6" ht="15.75" customHeight="1" x14ac:dyDescent="0.35">
      <c r="F81" s="864"/>
    </row>
    <row r="82" spans="6:6" ht="15.75" customHeight="1" x14ac:dyDescent="0.35">
      <c r="F82" s="864"/>
    </row>
    <row r="83" spans="6:6" ht="15.75" customHeight="1" x14ac:dyDescent="0.35">
      <c r="F83" s="864"/>
    </row>
    <row r="84" spans="6:6" ht="15.75" customHeight="1" x14ac:dyDescent="0.35">
      <c r="F84" s="864"/>
    </row>
    <row r="85" spans="6:6" ht="15.75" customHeight="1" x14ac:dyDescent="0.35">
      <c r="F85" s="864"/>
    </row>
    <row r="86" spans="6:6" ht="15.75" customHeight="1" x14ac:dyDescent="0.35">
      <c r="F86" s="864"/>
    </row>
    <row r="87" spans="6:6" ht="15.75" customHeight="1" x14ac:dyDescent="0.35">
      <c r="F87" s="864"/>
    </row>
    <row r="88" spans="6:6" ht="15.75" customHeight="1" x14ac:dyDescent="0.35">
      <c r="F88" s="864"/>
    </row>
    <row r="89" spans="6:6" ht="15.75" customHeight="1" x14ac:dyDescent="0.35">
      <c r="F89" s="864"/>
    </row>
    <row r="90" spans="6:6" ht="15.75" customHeight="1" x14ac:dyDescent="0.35">
      <c r="F90" s="864"/>
    </row>
    <row r="91" spans="6:6" ht="15.75" customHeight="1" x14ac:dyDescent="0.35">
      <c r="F91" s="864"/>
    </row>
    <row r="92" spans="6:6" ht="15.75" customHeight="1" x14ac:dyDescent="0.35">
      <c r="F92" s="864"/>
    </row>
    <row r="93" spans="6:6" ht="15.75" customHeight="1" x14ac:dyDescent="0.35">
      <c r="F93" s="864"/>
    </row>
    <row r="94" spans="6:6" ht="15.75" customHeight="1" x14ac:dyDescent="0.35">
      <c r="F94" s="864"/>
    </row>
    <row r="95" spans="6:6" ht="15.75" customHeight="1" x14ac:dyDescent="0.35">
      <c r="F95" s="864"/>
    </row>
    <row r="96" spans="6:6" ht="15.75" customHeight="1" x14ac:dyDescent="0.35">
      <c r="F96" s="864"/>
    </row>
    <row r="97" spans="6:6" ht="15.75" customHeight="1" x14ac:dyDescent="0.35">
      <c r="F97" s="864"/>
    </row>
    <row r="98" spans="6:6" ht="15.75" customHeight="1" x14ac:dyDescent="0.35">
      <c r="F98" s="864"/>
    </row>
    <row r="99" spans="6:6" ht="15.75" customHeight="1" x14ac:dyDescent="0.35">
      <c r="F99" s="864"/>
    </row>
    <row r="100" spans="6:6" ht="15.75" customHeight="1" x14ac:dyDescent="0.35">
      <c r="F100" s="864"/>
    </row>
    <row r="101" spans="6:6" ht="15.75" customHeight="1" x14ac:dyDescent="0.35">
      <c r="F101" s="864"/>
    </row>
    <row r="102" spans="6:6" ht="15.75" customHeight="1" x14ac:dyDescent="0.35">
      <c r="F102" s="864"/>
    </row>
    <row r="103" spans="6:6" ht="15.75" customHeight="1" x14ac:dyDescent="0.35">
      <c r="F103" s="864"/>
    </row>
    <row r="104" spans="6:6" ht="15.75" customHeight="1" x14ac:dyDescent="0.35">
      <c r="F104" s="864"/>
    </row>
    <row r="105" spans="6:6" ht="15.75" customHeight="1" x14ac:dyDescent="0.35">
      <c r="F105" s="864"/>
    </row>
    <row r="106" spans="6:6" ht="15.75" customHeight="1" x14ac:dyDescent="0.35">
      <c r="F106" s="864"/>
    </row>
    <row r="107" spans="6:6" ht="15.75" customHeight="1" x14ac:dyDescent="0.35">
      <c r="F107" s="864"/>
    </row>
    <row r="108" spans="6:6" ht="15.75" customHeight="1" x14ac:dyDescent="0.35">
      <c r="F108" s="864"/>
    </row>
    <row r="109" spans="6:6" ht="15.75" customHeight="1" x14ac:dyDescent="0.35">
      <c r="F109" s="864"/>
    </row>
    <row r="110" spans="6:6" ht="15.75" customHeight="1" x14ac:dyDescent="0.35">
      <c r="F110" s="864"/>
    </row>
    <row r="111" spans="6:6" ht="15.75" customHeight="1" x14ac:dyDescent="0.35">
      <c r="F111" s="864"/>
    </row>
    <row r="112" spans="6:6" ht="15.75" customHeight="1" x14ac:dyDescent="0.35">
      <c r="F112" s="864"/>
    </row>
    <row r="113" spans="6:6" ht="15.75" customHeight="1" x14ac:dyDescent="0.35">
      <c r="F113" s="864"/>
    </row>
    <row r="114" spans="6:6" ht="15.75" customHeight="1" x14ac:dyDescent="0.35">
      <c r="F114" s="864"/>
    </row>
    <row r="115" spans="6:6" ht="15.75" customHeight="1" x14ac:dyDescent="0.35">
      <c r="F115" s="864"/>
    </row>
    <row r="116" spans="6:6" ht="15.75" customHeight="1" x14ac:dyDescent="0.35">
      <c r="F116" s="864"/>
    </row>
    <row r="117" spans="6:6" ht="15.75" customHeight="1" x14ac:dyDescent="0.35">
      <c r="F117" s="864"/>
    </row>
    <row r="118" spans="6:6" ht="15.75" customHeight="1" x14ac:dyDescent="0.35">
      <c r="F118" s="864"/>
    </row>
    <row r="119" spans="6:6" ht="15.75" customHeight="1" x14ac:dyDescent="0.35">
      <c r="F119" s="864"/>
    </row>
    <row r="120" spans="6:6" ht="15.75" customHeight="1" x14ac:dyDescent="0.35">
      <c r="F120" s="864"/>
    </row>
    <row r="121" spans="6:6" ht="15.75" customHeight="1" x14ac:dyDescent="0.35">
      <c r="F121" s="864"/>
    </row>
    <row r="122" spans="6:6" ht="15.75" customHeight="1" x14ac:dyDescent="0.35">
      <c r="F122" s="864"/>
    </row>
    <row r="123" spans="6:6" ht="15.75" customHeight="1" x14ac:dyDescent="0.35">
      <c r="F123" s="864"/>
    </row>
    <row r="124" spans="6:6" ht="15.75" customHeight="1" x14ac:dyDescent="0.35">
      <c r="F124" s="864"/>
    </row>
    <row r="125" spans="6:6" ht="15.75" customHeight="1" x14ac:dyDescent="0.35">
      <c r="F125" s="864"/>
    </row>
    <row r="126" spans="6:6" ht="15.75" customHeight="1" x14ac:dyDescent="0.35">
      <c r="F126" s="864"/>
    </row>
    <row r="127" spans="6:6" ht="15.75" customHeight="1" x14ac:dyDescent="0.35">
      <c r="F127" s="864"/>
    </row>
    <row r="128" spans="6:6" ht="15.75" customHeight="1" x14ac:dyDescent="0.35">
      <c r="F128" s="864"/>
    </row>
    <row r="129" spans="6:6" ht="15.75" customHeight="1" x14ac:dyDescent="0.35">
      <c r="F129" s="864"/>
    </row>
    <row r="130" spans="6:6" ht="15.75" customHeight="1" x14ac:dyDescent="0.35">
      <c r="F130" s="864"/>
    </row>
    <row r="131" spans="6:6" ht="15.75" customHeight="1" x14ac:dyDescent="0.35">
      <c r="F131" s="864"/>
    </row>
    <row r="132" spans="6:6" ht="15.75" customHeight="1" x14ac:dyDescent="0.35">
      <c r="F132" s="864"/>
    </row>
    <row r="133" spans="6:6" ht="15.75" customHeight="1" x14ac:dyDescent="0.35">
      <c r="F133" s="864"/>
    </row>
    <row r="134" spans="6:6" ht="15.75" customHeight="1" x14ac:dyDescent="0.35">
      <c r="F134" s="864"/>
    </row>
    <row r="135" spans="6:6" ht="15.75" customHeight="1" x14ac:dyDescent="0.35">
      <c r="F135" s="864"/>
    </row>
    <row r="136" spans="6:6" ht="15.75" customHeight="1" x14ac:dyDescent="0.35">
      <c r="F136" s="864"/>
    </row>
    <row r="137" spans="6:6" ht="15.75" customHeight="1" x14ac:dyDescent="0.35">
      <c r="F137" s="864"/>
    </row>
    <row r="138" spans="6:6" ht="15.75" customHeight="1" x14ac:dyDescent="0.35">
      <c r="F138" s="864"/>
    </row>
    <row r="139" spans="6:6" ht="15.75" customHeight="1" x14ac:dyDescent="0.35">
      <c r="F139" s="864"/>
    </row>
    <row r="140" spans="6:6" ht="15.75" customHeight="1" x14ac:dyDescent="0.35">
      <c r="F140" s="864"/>
    </row>
    <row r="141" spans="6:6" ht="15.75" customHeight="1" x14ac:dyDescent="0.35">
      <c r="F141" s="864"/>
    </row>
    <row r="142" spans="6:6" ht="15.75" customHeight="1" x14ac:dyDescent="0.35">
      <c r="F142" s="864"/>
    </row>
    <row r="143" spans="6:6" ht="15.75" customHeight="1" x14ac:dyDescent="0.35">
      <c r="F143" s="864"/>
    </row>
    <row r="144" spans="6:6" ht="15.75" customHeight="1" x14ac:dyDescent="0.35">
      <c r="F144" s="864"/>
    </row>
    <row r="145" spans="6:6" ht="15.75" customHeight="1" x14ac:dyDescent="0.35">
      <c r="F145" s="864"/>
    </row>
    <row r="146" spans="6:6" ht="15.75" customHeight="1" x14ac:dyDescent="0.35">
      <c r="F146" s="864"/>
    </row>
    <row r="147" spans="6:6" ht="15.75" customHeight="1" x14ac:dyDescent="0.35">
      <c r="F147" s="864"/>
    </row>
    <row r="148" spans="6:6" ht="15.75" customHeight="1" x14ac:dyDescent="0.35">
      <c r="F148" s="864"/>
    </row>
    <row r="149" spans="6:6" ht="15.75" customHeight="1" x14ac:dyDescent="0.35">
      <c r="F149" s="864"/>
    </row>
    <row r="150" spans="6:6" ht="15.75" customHeight="1" x14ac:dyDescent="0.35">
      <c r="F150" s="864"/>
    </row>
    <row r="151" spans="6:6" ht="15.75" customHeight="1" x14ac:dyDescent="0.35">
      <c r="F151" s="864"/>
    </row>
    <row r="152" spans="6:6" ht="15.75" customHeight="1" x14ac:dyDescent="0.35">
      <c r="F152" s="864"/>
    </row>
    <row r="153" spans="6:6" ht="15.75" customHeight="1" x14ac:dyDescent="0.35">
      <c r="F153" s="864"/>
    </row>
    <row r="154" spans="6:6" ht="15.75" customHeight="1" x14ac:dyDescent="0.35">
      <c r="F154" s="864"/>
    </row>
    <row r="155" spans="6:6" ht="15.75" customHeight="1" x14ac:dyDescent="0.35">
      <c r="F155" s="864"/>
    </row>
    <row r="156" spans="6:6" ht="15.75" customHeight="1" x14ac:dyDescent="0.35">
      <c r="F156" s="864"/>
    </row>
    <row r="157" spans="6:6" ht="15.75" customHeight="1" x14ac:dyDescent="0.35">
      <c r="F157" s="864"/>
    </row>
    <row r="158" spans="6:6" ht="15.75" customHeight="1" x14ac:dyDescent="0.35">
      <c r="F158" s="864"/>
    </row>
    <row r="159" spans="6:6" ht="15.75" customHeight="1" x14ac:dyDescent="0.35">
      <c r="F159" s="864"/>
    </row>
    <row r="160" spans="6:6" ht="15.75" customHeight="1" x14ac:dyDescent="0.35">
      <c r="F160" s="864"/>
    </row>
    <row r="161" spans="6:6" ht="15.75" customHeight="1" x14ac:dyDescent="0.35">
      <c r="F161" s="864"/>
    </row>
    <row r="162" spans="6:6" ht="15.75" customHeight="1" x14ac:dyDescent="0.35">
      <c r="F162" s="864"/>
    </row>
    <row r="163" spans="6:6" ht="15.75" customHeight="1" x14ac:dyDescent="0.35">
      <c r="F163" s="864"/>
    </row>
    <row r="164" spans="6:6" ht="15.75" customHeight="1" x14ac:dyDescent="0.35">
      <c r="F164" s="864"/>
    </row>
    <row r="165" spans="6:6" ht="15.75" customHeight="1" x14ac:dyDescent="0.35">
      <c r="F165" s="864"/>
    </row>
    <row r="166" spans="6:6" ht="15.75" customHeight="1" x14ac:dyDescent="0.35">
      <c r="F166" s="864"/>
    </row>
    <row r="167" spans="6:6" ht="15.75" customHeight="1" x14ac:dyDescent="0.35">
      <c r="F167" s="864"/>
    </row>
    <row r="168" spans="6:6" ht="15.75" customHeight="1" x14ac:dyDescent="0.35">
      <c r="F168" s="864"/>
    </row>
    <row r="169" spans="6:6" ht="15.75" customHeight="1" x14ac:dyDescent="0.35">
      <c r="F169" s="864"/>
    </row>
    <row r="170" spans="6:6" ht="15.75" customHeight="1" x14ac:dyDescent="0.35">
      <c r="F170" s="864"/>
    </row>
    <row r="171" spans="6:6" ht="15.75" customHeight="1" x14ac:dyDescent="0.35">
      <c r="F171" s="864"/>
    </row>
    <row r="172" spans="6:6" ht="15.75" customHeight="1" x14ac:dyDescent="0.35">
      <c r="F172" s="864"/>
    </row>
    <row r="173" spans="6:6" ht="15.75" customHeight="1" x14ac:dyDescent="0.35">
      <c r="F173" s="864"/>
    </row>
    <row r="174" spans="6:6" ht="15.75" customHeight="1" x14ac:dyDescent="0.35">
      <c r="F174" s="864"/>
    </row>
    <row r="175" spans="6:6" ht="15.75" customHeight="1" x14ac:dyDescent="0.35">
      <c r="F175" s="864"/>
    </row>
    <row r="176" spans="6:6" ht="15.75" customHeight="1" x14ac:dyDescent="0.35">
      <c r="F176" s="864"/>
    </row>
    <row r="177" spans="6:6" ht="15.75" customHeight="1" x14ac:dyDescent="0.35">
      <c r="F177" s="864"/>
    </row>
    <row r="178" spans="6:6" ht="15.75" customHeight="1" x14ac:dyDescent="0.35">
      <c r="F178" s="864"/>
    </row>
    <row r="179" spans="6:6" ht="15.75" customHeight="1" x14ac:dyDescent="0.35">
      <c r="F179" s="864"/>
    </row>
    <row r="180" spans="6:6" ht="15.75" customHeight="1" x14ac:dyDescent="0.35">
      <c r="F180" s="864"/>
    </row>
    <row r="181" spans="6:6" ht="15.75" customHeight="1" x14ac:dyDescent="0.35">
      <c r="F181" s="864"/>
    </row>
    <row r="182" spans="6:6" ht="15.75" customHeight="1" x14ac:dyDescent="0.35">
      <c r="F182" s="864"/>
    </row>
    <row r="183" spans="6:6" ht="15.75" customHeight="1" x14ac:dyDescent="0.35">
      <c r="F183" s="864"/>
    </row>
    <row r="184" spans="6:6" ht="15.75" customHeight="1" x14ac:dyDescent="0.35">
      <c r="F184" s="864"/>
    </row>
    <row r="185" spans="6:6" ht="15.75" customHeight="1" x14ac:dyDescent="0.35">
      <c r="F185" s="864"/>
    </row>
    <row r="186" spans="6:6" ht="15.75" customHeight="1" x14ac:dyDescent="0.35">
      <c r="F186" s="864"/>
    </row>
    <row r="187" spans="6:6" ht="15.75" customHeight="1" x14ac:dyDescent="0.35">
      <c r="F187" s="864"/>
    </row>
    <row r="188" spans="6:6" ht="15.75" customHeight="1" x14ac:dyDescent="0.35">
      <c r="F188" s="864"/>
    </row>
    <row r="189" spans="6:6" ht="15.75" customHeight="1" x14ac:dyDescent="0.35">
      <c r="F189" s="864"/>
    </row>
    <row r="190" spans="6:6" ht="15.75" customHeight="1" x14ac:dyDescent="0.35">
      <c r="F190" s="864"/>
    </row>
    <row r="191" spans="6:6" ht="15.75" customHeight="1" x14ac:dyDescent="0.35">
      <c r="F191" s="864"/>
    </row>
    <row r="192" spans="6:6" ht="15.75" customHeight="1" x14ac:dyDescent="0.35">
      <c r="F192" s="864"/>
    </row>
    <row r="193" spans="6:6" ht="15.75" customHeight="1" x14ac:dyDescent="0.35">
      <c r="F193" s="864"/>
    </row>
    <row r="194" spans="6:6" ht="15.75" customHeight="1" x14ac:dyDescent="0.35">
      <c r="F194" s="864"/>
    </row>
    <row r="195" spans="6:6" ht="15.75" customHeight="1" x14ac:dyDescent="0.35">
      <c r="F195" s="864"/>
    </row>
    <row r="196" spans="6:6" ht="15.75" customHeight="1" x14ac:dyDescent="0.35">
      <c r="F196" s="864"/>
    </row>
    <row r="197" spans="6:6" ht="15.75" customHeight="1" x14ac:dyDescent="0.35">
      <c r="F197" s="864"/>
    </row>
    <row r="198" spans="6:6" ht="15.75" customHeight="1" x14ac:dyDescent="0.35">
      <c r="F198" s="864"/>
    </row>
    <row r="199" spans="6:6" ht="15.75" customHeight="1" x14ac:dyDescent="0.35">
      <c r="F199" s="864"/>
    </row>
    <row r="200" spans="6:6" ht="15.75" customHeight="1" x14ac:dyDescent="0.35">
      <c r="F200" s="864"/>
    </row>
    <row r="201" spans="6:6" ht="15.75" customHeight="1" x14ac:dyDescent="0.35">
      <c r="F201" s="864"/>
    </row>
    <row r="202" spans="6:6" ht="15.75" customHeight="1" x14ac:dyDescent="0.35">
      <c r="F202" s="864"/>
    </row>
    <row r="203" spans="6:6" ht="15.75" customHeight="1" x14ac:dyDescent="0.35">
      <c r="F203" s="864"/>
    </row>
    <row r="204" spans="6:6" ht="15.75" customHeight="1" x14ac:dyDescent="0.35">
      <c r="F204" s="864"/>
    </row>
    <row r="205" spans="6:6" ht="15.75" customHeight="1" x14ac:dyDescent="0.35">
      <c r="F205" s="864"/>
    </row>
    <row r="206" spans="6:6" ht="15.75" customHeight="1" x14ac:dyDescent="0.35">
      <c r="F206" s="864"/>
    </row>
    <row r="207" spans="6:6" ht="15.75" customHeight="1" x14ac:dyDescent="0.35">
      <c r="F207" s="864"/>
    </row>
    <row r="208" spans="6:6" ht="15.75" customHeight="1" x14ac:dyDescent="0.35">
      <c r="F208" s="864"/>
    </row>
    <row r="209" spans="6:6" ht="15.75" customHeight="1" x14ac:dyDescent="0.35">
      <c r="F209" s="864"/>
    </row>
    <row r="210" spans="6:6" ht="15.75" customHeight="1" x14ac:dyDescent="0.35">
      <c r="F210" s="864"/>
    </row>
    <row r="211" spans="6:6" ht="15.75" customHeight="1" x14ac:dyDescent="0.35">
      <c r="F211" s="864"/>
    </row>
    <row r="212" spans="6:6" ht="15.75" customHeight="1" x14ac:dyDescent="0.35">
      <c r="F212" s="864"/>
    </row>
    <row r="213" spans="6:6" ht="15.75" customHeight="1" x14ac:dyDescent="0.35">
      <c r="F213" s="864"/>
    </row>
    <row r="214" spans="6:6" ht="15.75" customHeight="1" x14ac:dyDescent="0.35">
      <c r="F214" s="864"/>
    </row>
    <row r="215" spans="6:6" ht="15.75" customHeight="1" x14ac:dyDescent="0.35">
      <c r="F215" s="864"/>
    </row>
    <row r="216" spans="6:6" ht="15.75" customHeight="1" x14ac:dyDescent="0.35">
      <c r="F216" s="864"/>
    </row>
    <row r="217" spans="6:6" ht="15.75" customHeight="1" x14ac:dyDescent="0.35">
      <c r="F217" s="864"/>
    </row>
    <row r="218" spans="6:6" ht="15.75" customHeight="1" x14ac:dyDescent="0.35">
      <c r="F218" s="864"/>
    </row>
    <row r="219" spans="6:6" ht="15.75" customHeight="1" x14ac:dyDescent="0.35">
      <c r="F219" s="864"/>
    </row>
    <row r="220" spans="6:6" ht="15.75" customHeight="1" x14ac:dyDescent="0.35">
      <c r="F220" s="864"/>
    </row>
    <row r="221" spans="6:6" ht="15.75" customHeight="1" x14ac:dyDescent="0.35">
      <c r="F221" s="864"/>
    </row>
    <row r="222" spans="6:6" ht="15.75" customHeight="1" x14ac:dyDescent="0.35">
      <c r="F222" s="864"/>
    </row>
    <row r="223" spans="6:6" ht="15.75" customHeight="1" x14ac:dyDescent="0.35">
      <c r="F223" s="864"/>
    </row>
    <row r="224" spans="6:6" ht="15.75" customHeight="1" x14ac:dyDescent="0.35">
      <c r="F224" s="864"/>
    </row>
    <row r="225" spans="6:6" ht="15.75" customHeight="1" x14ac:dyDescent="0.35">
      <c r="F225" s="864"/>
    </row>
    <row r="226" spans="6:6" ht="15.75" customHeight="1" x14ac:dyDescent="0.35">
      <c r="F226" s="864"/>
    </row>
    <row r="227" spans="6:6" ht="15.75" customHeight="1" x14ac:dyDescent="0.35">
      <c r="F227" s="864"/>
    </row>
    <row r="228" spans="6:6" ht="15.75" customHeight="1" x14ac:dyDescent="0.35">
      <c r="F228" s="864"/>
    </row>
    <row r="229" spans="6:6" ht="15.75" customHeight="1" x14ac:dyDescent="0.35">
      <c r="F229" s="864"/>
    </row>
    <row r="230" spans="6:6" ht="15.75" customHeight="1" x14ac:dyDescent="0.35">
      <c r="F230" s="864"/>
    </row>
    <row r="231" spans="6:6" ht="15.75" customHeight="1" x14ac:dyDescent="0.35">
      <c r="F231" s="864"/>
    </row>
    <row r="232" spans="6:6" ht="15.75" customHeight="1" x14ac:dyDescent="0.35">
      <c r="F232" s="864"/>
    </row>
    <row r="233" spans="6:6" ht="15.75" customHeight="1" x14ac:dyDescent="0.35">
      <c r="F233" s="864"/>
    </row>
    <row r="234" spans="6:6" ht="15.75" customHeight="1" x14ac:dyDescent="0.35">
      <c r="F234" s="864"/>
    </row>
    <row r="235" spans="6:6" ht="15.75" customHeight="1" x14ac:dyDescent="0.35">
      <c r="F235" s="864"/>
    </row>
    <row r="236" spans="6:6" ht="15.75" customHeight="1" x14ac:dyDescent="0.35">
      <c r="F236" s="864"/>
    </row>
    <row r="237" spans="6:6" ht="15.75" customHeight="1" x14ac:dyDescent="0.35">
      <c r="F237" s="864"/>
    </row>
    <row r="238" spans="6:6" ht="15.75" customHeight="1" x14ac:dyDescent="0.35">
      <c r="F238" s="864"/>
    </row>
    <row r="239" spans="6:6" ht="15.75" customHeight="1" x14ac:dyDescent="0.35">
      <c r="F239" s="864"/>
    </row>
    <row r="240" spans="6:6" ht="15.75" customHeight="1" x14ac:dyDescent="0.35">
      <c r="F240" s="864"/>
    </row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</sheetData>
  <mergeCells count="2">
    <mergeCell ref="B2:D2"/>
    <mergeCell ref="B5:C5"/>
  </mergeCells>
  <phoneticPr fontId="58" type="noConversion"/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A8D08D"/>
  </sheetPr>
  <dimension ref="A1:Z1008"/>
  <sheetViews>
    <sheetView workbookViewId="0">
      <pane ySplit="5" topLeftCell="A36" activePane="bottomLeft" state="frozen"/>
      <selection pane="bottomLeft" activeCell="D13" sqref="D13"/>
    </sheetView>
  </sheetViews>
  <sheetFormatPr defaultColWidth="14.453125" defaultRowHeight="15" customHeight="1" x14ac:dyDescent="0.35"/>
  <cols>
    <col min="1" max="1" width="3.81640625" customWidth="1"/>
    <col min="2" max="2" width="14.26953125" customWidth="1"/>
    <col min="3" max="3" width="19" customWidth="1"/>
    <col min="4" max="4" width="9" customWidth="1"/>
    <col min="5" max="5" width="11" customWidth="1"/>
    <col min="6" max="6" width="8.453125" customWidth="1"/>
    <col min="7" max="20" width="9.1796875" customWidth="1"/>
    <col min="21" max="21" width="5.1796875" customWidth="1"/>
    <col min="22" max="22" width="7" customWidth="1"/>
    <col min="23" max="23" width="8.1796875" customWidth="1"/>
    <col min="24" max="24" width="11.81640625" customWidth="1"/>
  </cols>
  <sheetData>
    <row r="1" spans="2:24" ht="14.5" x14ac:dyDescent="0.35">
      <c r="F1" s="1"/>
    </row>
    <row r="2" spans="2:24" ht="14.5" x14ac:dyDescent="0.35">
      <c r="B2" s="1053" t="s">
        <v>440</v>
      </c>
      <c r="C2" s="1042"/>
      <c r="D2" s="1042"/>
      <c r="E2" s="1042"/>
      <c r="F2" s="1042"/>
    </row>
    <row r="3" spans="2:24" ht="13.5" customHeight="1" x14ac:dyDescent="0.35">
      <c r="B3" s="1042"/>
      <c r="C3" s="1042"/>
      <c r="D3" s="1042"/>
      <c r="E3" s="1042"/>
      <c r="F3" s="1042"/>
    </row>
    <row r="4" spans="2:24" ht="30.75" customHeight="1" thickBot="1" x14ac:dyDescent="0.7">
      <c r="B4" s="455"/>
      <c r="C4" s="455"/>
      <c r="D4" s="456"/>
      <c r="E4" s="456"/>
      <c r="F4" s="457"/>
      <c r="G4" s="458" t="s">
        <v>27</v>
      </c>
      <c r="H4" s="365" t="s">
        <v>2</v>
      </c>
      <c r="I4" s="366" t="s">
        <v>3</v>
      </c>
      <c r="J4" s="367" t="s">
        <v>4</v>
      </c>
      <c r="K4" s="368" t="s">
        <v>5</v>
      </c>
      <c r="L4" s="369" t="s">
        <v>6</v>
      </c>
      <c r="M4" s="370" t="s">
        <v>7</v>
      </c>
      <c r="N4" s="371" t="s">
        <v>8</v>
      </c>
      <c r="O4" s="372" t="s">
        <v>9</v>
      </c>
      <c r="P4" s="373" t="s">
        <v>10</v>
      </c>
      <c r="Q4" s="374" t="s">
        <v>11</v>
      </c>
      <c r="R4" s="375" t="s">
        <v>12</v>
      </c>
      <c r="S4" s="376" t="s">
        <v>13</v>
      </c>
      <c r="T4" s="377" t="s">
        <v>14</v>
      </c>
      <c r="U4" s="3"/>
      <c r="V4" s="3"/>
      <c r="W4" s="3"/>
      <c r="X4" s="3"/>
    </row>
    <row r="5" spans="2:24" ht="14.25" customHeight="1" thickBot="1" x14ac:dyDescent="0.4">
      <c r="B5" s="1037" t="s">
        <v>15</v>
      </c>
      <c r="C5" s="1038"/>
      <c r="D5" s="94" t="s">
        <v>17</v>
      </c>
      <c r="E5" s="94" t="s">
        <v>18</v>
      </c>
      <c r="F5" s="95" t="s">
        <v>19</v>
      </c>
      <c r="G5" s="378">
        <v>2</v>
      </c>
      <c r="H5" s="379">
        <v>5</v>
      </c>
      <c r="I5" s="380">
        <v>7</v>
      </c>
      <c r="J5" s="381">
        <v>10</v>
      </c>
      <c r="K5" s="382">
        <v>11</v>
      </c>
      <c r="L5" s="383">
        <v>12</v>
      </c>
      <c r="M5" s="384">
        <v>13</v>
      </c>
      <c r="N5" s="385">
        <v>16</v>
      </c>
      <c r="O5" s="386">
        <v>27</v>
      </c>
      <c r="P5" s="387">
        <v>69</v>
      </c>
      <c r="Q5" s="388">
        <v>76</v>
      </c>
      <c r="R5" s="389">
        <v>77</v>
      </c>
      <c r="S5" s="231">
        <v>79</v>
      </c>
      <c r="T5" s="390">
        <v>81</v>
      </c>
      <c r="U5" s="108" t="s">
        <v>20</v>
      </c>
      <c r="V5" s="108" t="s">
        <v>21</v>
      </c>
      <c r="W5" s="108" t="s">
        <v>22</v>
      </c>
      <c r="X5" s="108" t="s">
        <v>28</v>
      </c>
    </row>
    <row r="6" spans="2:24" thickBot="1" x14ac:dyDescent="0.4">
      <c r="B6" s="3"/>
      <c r="C6" s="3"/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112"/>
      <c r="U6" s="3"/>
      <c r="V6" s="3"/>
      <c r="W6" s="3"/>
      <c r="X6" s="3"/>
    </row>
    <row r="7" spans="2:24" ht="35.25" customHeight="1" thickBot="1" x14ac:dyDescent="0.4">
      <c r="B7" s="1044" t="s">
        <v>999</v>
      </c>
      <c r="C7" s="1054"/>
      <c r="D7" s="890">
        <f>SUM(D8:D21)</f>
        <v>70</v>
      </c>
      <c r="E7" s="926" t="s">
        <v>988</v>
      </c>
      <c r="F7" s="931">
        <f>SUM(F8:F21)*0.95</f>
        <v>2928.85</v>
      </c>
      <c r="G7" s="932"/>
      <c r="H7" s="248"/>
      <c r="I7" s="249"/>
      <c r="J7" s="250"/>
      <c r="K7" s="251"/>
      <c r="L7" s="252"/>
      <c r="M7" s="253"/>
      <c r="N7" s="254"/>
      <c r="O7" s="255"/>
      <c r="P7" s="256"/>
      <c r="Q7" s="257"/>
      <c r="R7" s="258"/>
      <c r="S7" s="259"/>
      <c r="T7" s="459"/>
      <c r="U7" s="449">
        <f t="shared" ref="U7" si="0">SUM(G7:T7)</f>
        <v>0</v>
      </c>
      <c r="V7" s="449">
        <f t="shared" ref="V7:V21" si="1">D7*U7</f>
        <v>0</v>
      </c>
      <c r="W7" s="449">
        <f>U7*1.98</f>
        <v>0</v>
      </c>
      <c r="X7" s="450">
        <f t="shared" ref="X7" si="2">F7*U7</f>
        <v>0</v>
      </c>
    </row>
    <row r="8" spans="2:24" ht="99.75" customHeight="1" x14ac:dyDescent="0.35">
      <c r="B8" s="933" t="s">
        <v>441</v>
      </c>
      <c r="C8" s="934"/>
      <c r="D8" s="870">
        <v>10</v>
      </c>
      <c r="E8" s="870" t="s">
        <v>442</v>
      </c>
      <c r="F8" s="883">
        <v>121</v>
      </c>
      <c r="G8" s="247"/>
      <c r="H8" s="248"/>
      <c r="I8" s="249"/>
      <c r="J8" s="250"/>
      <c r="K8" s="251"/>
      <c r="L8" s="252"/>
      <c r="M8" s="253"/>
      <c r="N8" s="254"/>
      <c r="O8" s="255"/>
      <c r="P8" s="256"/>
      <c r="Q8" s="257"/>
      <c r="R8" s="258"/>
      <c r="S8" s="259"/>
      <c r="T8" s="459"/>
      <c r="U8" s="449">
        <f t="shared" ref="U8:U21" si="3">SUM(G8:T8)</f>
        <v>0</v>
      </c>
      <c r="V8" s="449">
        <f t="shared" si="1"/>
        <v>0</v>
      </c>
      <c r="W8" s="449">
        <f>U8*1.98</f>
        <v>0</v>
      </c>
      <c r="X8" s="450">
        <f t="shared" ref="X8:X13" si="4">F8*U8</f>
        <v>0</v>
      </c>
    </row>
    <row r="9" spans="2:24" ht="99.75" customHeight="1" x14ac:dyDescent="0.35">
      <c r="B9" s="164" t="s">
        <v>443</v>
      </c>
      <c r="C9" s="416"/>
      <c r="D9" s="113">
        <v>10</v>
      </c>
      <c r="E9" s="113" t="s">
        <v>444</v>
      </c>
      <c r="F9" s="884">
        <v>158</v>
      </c>
      <c r="G9" s="213"/>
      <c r="H9" s="214"/>
      <c r="I9" s="215"/>
      <c r="J9" s="216"/>
      <c r="K9" s="217"/>
      <c r="L9" s="218"/>
      <c r="M9" s="219"/>
      <c r="N9" s="220"/>
      <c r="O9" s="221"/>
      <c r="P9" s="222"/>
      <c r="Q9" s="223"/>
      <c r="R9" s="224"/>
      <c r="S9" s="225"/>
      <c r="T9" s="226"/>
      <c r="U9" s="129">
        <f t="shared" si="3"/>
        <v>0</v>
      </c>
      <c r="V9" s="129">
        <f t="shared" si="1"/>
        <v>0</v>
      </c>
      <c r="W9" s="129">
        <f>U9*2.82</f>
        <v>0</v>
      </c>
      <c r="X9" s="166">
        <f t="shared" si="4"/>
        <v>0</v>
      </c>
    </row>
    <row r="10" spans="2:24" ht="99.75" customHeight="1" x14ac:dyDescent="0.35">
      <c r="B10" s="164" t="s">
        <v>445</v>
      </c>
      <c r="C10" s="416"/>
      <c r="D10" s="113">
        <v>10</v>
      </c>
      <c r="E10" s="113" t="s">
        <v>446</v>
      </c>
      <c r="F10" s="884">
        <v>273</v>
      </c>
      <c r="G10" s="213"/>
      <c r="H10" s="214"/>
      <c r="I10" s="215"/>
      <c r="J10" s="216"/>
      <c r="K10" s="217"/>
      <c r="L10" s="218"/>
      <c r="M10" s="219"/>
      <c r="N10" s="220"/>
      <c r="O10" s="221"/>
      <c r="P10" s="222"/>
      <c r="Q10" s="223"/>
      <c r="R10" s="224"/>
      <c r="S10" s="225"/>
      <c r="T10" s="226"/>
      <c r="U10" s="129">
        <f t="shared" si="3"/>
        <v>0</v>
      </c>
      <c r="V10" s="129">
        <f t="shared" si="1"/>
        <v>0</v>
      </c>
      <c r="W10" s="129">
        <f>U10*5.41</f>
        <v>0</v>
      </c>
      <c r="X10" s="166">
        <f t="shared" si="4"/>
        <v>0</v>
      </c>
    </row>
    <row r="11" spans="2:24" ht="99.75" customHeight="1" x14ac:dyDescent="0.35">
      <c r="B11" s="164" t="s">
        <v>447</v>
      </c>
      <c r="C11" s="416"/>
      <c r="D11" s="113">
        <v>5</v>
      </c>
      <c r="E11" s="113" t="s">
        <v>448</v>
      </c>
      <c r="F11" s="884">
        <v>171</v>
      </c>
      <c r="G11" s="213"/>
      <c r="H11" s="214"/>
      <c r="I11" s="215"/>
      <c r="J11" s="216"/>
      <c r="K11" s="217"/>
      <c r="L11" s="218"/>
      <c r="M11" s="219"/>
      <c r="N11" s="220"/>
      <c r="O11" s="221"/>
      <c r="P11" s="222"/>
      <c r="Q11" s="223"/>
      <c r="R11" s="224"/>
      <c r="S11" s="225"/>
      <c r="T11" s="226"/>
      <c r="U11" s="129">
        <f t="shared" si="3"/>
        <v>0</v>
      </c>
      <c r="V11" s="129">
        <f t="shared" si="1"/>
        <v>0</v>
      </c>
      <c r="W11" s="129">
        <f>U11*2.1</f>
        <v>0</v>
      </c>
      <c r="X11" s="166">
        <f t="shared" si="4"/>
        <v>0</v>
      </c>
    </row>
    <row r="12" spans="2:24" ht="99.75" customHeight="1" x14ac:dyDescent="0.35">
      <c r="B12" s="164" t="s">
        <v>449</v>
      </c>
      <c r="C12" s="416"/>
      <c r="D12" s="113">
        <v>10</v>
      </c>
      <c r="E12" s="113" t="s">
        <v>450</v>
      </c>
      <c r="F12" s="884">
        <v>404</v>
      </c>
      <c r="G12" s="213"/>
      <c r="H12" s="214"/>
      <c r="I12" s="215"/>
      <c r="J12" s="216"/>
      <c r="K12" s="217"/>
      <c r="L12" s="218"/>
      <c r="M12" s="219"/>
      <c r="N12" s="220"/>
      <c r="O12" s="221"/>
      <c r="P12" s="222"/>
      <c r="Q12" s="223"/>
      <c r="R12" s="224"/>
      <c r="S12" s="225"/>
      <c r="T12" s="226"/>
      <c r="U12" s="129">
        <f t="shared" si="3"/>
        <v>0</v>
      </c>
      <c r="V12" s="129">
        <f t="shared" si="1"/>
        <v>0</v>
      </c>
      <c r="W12" s="129">
        <f>U12*3</f>
        <v>0</v>
      </c>
      <c r="X12" s="166">
        <f t="shared" si="4"/>
        <v>0</v>
      </c>
    </row>
    <row r="13" spans="2:24" ht="99.75" customHeight="1" x14ac:dyDescent="0.35">
      <c r="B13" s="265" t="s">
        <v>451</v>
      </c>
      <c r="C13" s="416"/>
      <c r="D13" s="113">
        <v>5</v>
      </c>
      <c r="E13" s="113" t="s">
        <v>452</v>
      </c>
      <c r="F13" s="884">
        <v>255</v>
      </c>
      <c r="G13" s="213"/>
      <c r="H13" s="214"/>
      <c r="I13" s="215"/>
      <c r="J13" s="216"/>
      <c r="K13" s="217"/>
      <c r="L13" s="218"/>
      <c r="M13" s="219"/>
      <c r="N13" s="220"/>
      <c r="O13" s="221"/>
      <c r="P13" s="222"/>
      <c r="Q13" s="223"/>
      <c r="R13" s="224"/>
      <c r="S13" s="225"/>
      <c r="T13" s="226"/>
      <c r="U13" s="129">
        <f t="shared" si="3"/>
        <v>0</v>
      </c>
      <c r="V13" s="129">
        <f t="shared" si="1"/>
        <v>0</v>
      </c>
      <c r="W13" s="129">
        <f>U13*5.48</f>
        <v>0</v>
      </c>
      <c r="X13" s="166">
        <f t="shared" si="4"/>
        <v>0</v>
      </c>
    </row>
    <row r="14" spans="2:24" ht="99.75" customHeight="1" x14ac:dyDescent="0.35">
      <c r="B14" s="164" t="s">
        <v>453</v>
      </c>
      <c r="C14" s="416"/>
      <c r="D14" s="113">
        <v>3</v>
      </c>
      <c r="E14" s="113" t="s">
        <v>454</v>
      </c>
      <c r="F14" s="884">
        <v>135</v>
      </c>
      <c r="G14" s="213"/>
      <c r="H14" s="214"/>
      <c r="I14" s="215"/>
      <c r="J14" s="216"/>
      <c r="K14" s="217"/>
      <c r="L14" s="218"/>
      <c r="M14" s="219"/>
      <c r="N14" s="220"/>
      <c r="O14" s="221"/>
      <c r="P14" s="222"/>
      <c r="Q14" s="223"/>
      <c r="R14" s="224"/>
      <c r="S14" s="225"/>
      <c r="T14" s="226"/>
      <c r="U14" s="129">
        <f t="shared" si="3"/>
        <v>0</v>
      </c>
      <c r="V14" s="129">
        <f t="shared" si="1"/>
        <v>0</v>
      </c>
      <c r="W14" s="129">
        <f>U14*1.83</f>
        <v>0</v>
      </c>
      <c r="X14" s="166">
        <f t="shared" ref="X14:X18" si="5">U14*F14</f>
        <v>0</v>
      </c>
    </row>
    <row r="15" spans="2:24" ht="99.75" customHeight="1" x14ac:dyDescent="0.35">
      <c r="B15" s="164" t="s">
        <v>455</v>
      </c>
      <c r="C15" s="416"/>
      <c r="D15" s="113">
        <v>5</v>
      </c>
      <c r="E15" s="113" t="s">
        <v>456</v>
      </c>
      <c r="F15" s="884">
        <v>325</v>
      </c>
      <c r="G15" s="213"/>
      <c r="H15" s="214"/>
      <c r="I15" s="215"/>
      <c r="J15" s="216"/>
      <c r="K15" s="217"/>
      <c r="L15" s="218"/>
      <c r="M15" s="219"/>
      <c r="N15" s="220"/>
      <c r="O15" s="221"/>
      <c r="P15" s="222"/>
      <c r="Q15" s="223"/>
      <c r="R15" s="224"/>
      <c r="S15" s="225"/>
      <c r="T15" s="226"/>
      <c r="U15" s="129">
        <f t="shared" si="3"/>
        <v>0</v>
      </c>
      <c r="V15" s="129">
        <f t="shared" si="1"/>
        <v>0</v>
      </c>
      <c r="W15" s="129">
        <f>U15*5.1</f>
        <v>0</v>
      </c>
      <c r="X15" s="166">
        <f t="shared" si="5"/>
        <v>0</v>
      </c>
    </row>
    <row r="16" spans="2:24" ht="99.75" customHeight="1" x14ac:dyDescent="0.35">
      <c r="B16" s="164" t="s">
        <v>38</v>
      </c>
      <c r="C16" s="416"/>
      <c r="D16" s="113">
        <v>3</v>
      </c>
      <c r="E16" s="113" t="s">
        <v>457</v>
      </c>
      <c r="F16" s="884">
        <v>173</v>
      </c>
      <c r="G16" s="213"/>
      <c r="H16" s="214"/>
      <c r="I16" s="215"/>
      <c r="J16" s="216"/>
      <c r="K16" s="217"/>
      <c r="L16" s="218"/>
      <c r="M16" s="219"/>
      <c r="N16" s="220"/>
      <c r="O16" s="221"/>
      <c r="P16" s="222"/>
      <c r="Q16" s="223"/>
      <c r="R16" s="224"/>
      <c r="S16" s="225"/>
      <c r="T16" s="226"/>
      <c r="U16" s="129">
        <f t="shared" si="3"/>
        <v>0</v>
      </c>
      <c r="V16" s="129">
        <f t="shared" si="1"/>
        <v>0</v>
      </c>
      <c r="W16" s="129">
        <f>U16*2.6</f>
        <v>0</v>
      </c>
      <c r="X16" s="166">
        <f t="shared" si="5"/>
        <v>0</v>
      </c>
    </row>
    <row r="17" spans="2:24" ht="99.75" customHeight="1" x14ac:dyDescent="0.35">
      <c r="B17" s="164" t="s">
        <v>40</v>
      </c>
      <c r="C17" s="416"/>
      <c r="D17" s="113">
        <v>3</v>
      </c>
      <c r="E17" s="113" t="s">
        <v>458</v>
      </c>
      <c r="F17" s="884">
        <v>221</v>
      </c>
      <c r="G17" s="213"/>
      <c r="H17" s="214"/>
      <c r="I17" s="215"/>
      <c r="J17" s="216"/>
      <c r="K17" s="217"/>
      <c r="L17" s="218"/>
      <c r="M17" s="219"/>
      <c r="N17" s="220"/>
      <c r="O17" s="221"/>
      <c r="P17" s="222"/>
      <c r="Q17" s="223"/>
      <c r="R17" s="224"/>
      <c r="S17" s="225"/>
      <c r="T17" s="226"/>
      <c r="U17" s="129">
        <f t="shared" si="3"/>
        <v>0</v>
      </c>
      <c r="V17" s="129">
        <f t="shared" si="1"/>
        <v>0</v>
      </c>
      <c r="W17" s="129">
        <f>U17*3.5</f>
        <v>0</v>
      </c>
      <c r="X17" s="166">
        <f t="shared" si="5"/>
        <v>0</v>
      </c>
    </row>
    <row r="18" spans="2:24" ht="99.75" customHeight="1" x14ac:dyDescent="0.35">
      <c r="B18" s="265" t="s">
        <v>459</v>
      </c>
      <c r="C18" s="416"/>
      <c r="D18" s="113">
        <v>3</v>
      </c>
      <c r="E18" s="113" t="s">
        <v>460</v>
      </c>
      <c r="F18" s="884">
        <v>226</v>
      </c>
      <c r="G18" s="213"/>
      <c r="H18" s="214"/>
      <c r="I18" s="215"/>
      <c r="J18" s="216"/>
      <c r="K18" s="217"/>
      <c r="L18" s="218"/>
      <c r="M18" s="219"/>
      <c r="N18" s="220"/>
      <c r="O18" s="221"/>
      <c r="P18" s="222"/>
      <c r="Q18" s="223"/>
      <c r="R18" s="224"/>
      <c r="S18" s="225"/>
      <c r="T18" s="226"/>
      <c r="U18" s="129">
        <f t="shared" si="3"/>
        <v>0</v>
      </c>
      <c r="V18" s="129">
        <f t="shared" si="1"/>
        <v>0</v>
      </c>
      <c r="W18" s="129">
        <f>U18*3</f>
        <v>0</v>
      </c>
      <c r="X18" s="166">
        <f t="shared" si="5"/>
        <v>0</v>
      </c>
    </row>
    <row r="19" spans="2:24" ht="99.75" customHeight="1" x14ac:dyDescent="0.35">
      <c r="B19" s="164" t="s">
        <v>461</v>
      </c>
      <c r="C19" s="416"/>
      <c r="D19" s="113">
        <v>1</v>
      </c>
      <c r="E19" s="113" t="s">
        <v>462</v>
      </c>
      <c r="F19" s="884">
        <v>191</v>
      </c>
      <c r="G19" s="213"/>
      <c r="H19" s="214"/>
      <c r="I19" s="215"/>
      <c r="J19" s="216"/>
      <c r="K19" s="217"/>
      <c r="L19" s="218"/>
      <c r="M19" s="219"/>
      <c r="N19" s="220"/>
      <c r="O19" s="221"/>
      <c r="P19" s="222"/>
      <c r="Q19" s="223"/>
      <c r="R19" s="224"/>
      <c r="S19" s="225"/>
      <c r="T19" s="226"/>
      <c r="U19" s="129">
        <f t="shared" si="3"/>
        <v>0</v>
      </c>
      <c r="V19" s="129">
        <f t="shared" si="1"/>
        <v>0</v>
      </c>
      <c r="W19" s="129">
        <f>U19*3.4</f>
        <v>0</v>
      </c>
      <c r="X19" s="166">
        <f t="shared" ref="X19:X21" si="6">F19*U19</f>
        <v>0</v>
      </c>
    </row>
    <row r="20" spans="2:24" ht="99.75" customHeight="1" x14ac:dyDescent="0.35">
      <c r="B20" s="164" t="s">
        <v>463</v>
      </c>
      <c r="C20" s="416"/>
      <c r="D20" s="113">
        <v>1</v>
      </c>
      <c r="E20" s="113" t="s">
        <v>464</v>
      </c>
      <c r="F20" s="1008">
        <v>224</v>
      </c>
      <c r="G20" s="213"/>
      <c r="H20" s="214"/>
      <c r="I20" s="215"/>
      <c r="J20" s="216"/>
      <c r="K20" s="217"/>
      <c r="L20" s="218"/>
      <c r="M20" s="219"/>
      <c r="N20" s="220"/>
      <c r="O20" s="221"/>
      <c r="P20" s="222"/>
      <c r="Q20" s="223"/>
      <c r="R20" s="224"/>
      <c r="S20" s="225"/>
      <c r="T20" s="226"/>
      <c r="U20" s="129">
        <f t="shared" si="3"/>
        <v>0</v>
      </c>
      <c r="V20" s="129">
        <f t="shared" si="1"/>
        <v>0</v>
      </c>
      <c r="W20" s="129">
        <f>U20*4</f>
        <v>0</v>
      </c>
      <c r="X20" s="166">
        <f t="shared" si="6"/>
        <v>0</v>
      </c>
    </row>
    <row r="21" spans="2:24" ht="99.75" customHeight="1" thickBot="1" x14ac:dyDescent="0.4">
      <c r="B21" s="417" t="s">
        <v>465</v>
      </c>
      <c r="C21" s="460"/>
      <c r="D21" s="17">
        <v>1</v>
      </c>
      <c r="E21" s="970" t="s">
        <v>466</v>
      </c>
      <c r="F21" s="1009">
        <v>206</v>
      </c>
      <c r="G21" s="971"/>
      <c r="H21" s="462"/>
      <c r="I21" s="463"/>
      <c r="J21" s="464"/>
      <c r="K21" s="465"/>
      <c r="L21" s="466"/>
      <c r="M21" s="467"/>
      <c r="N21" s="468"/>
      <c r="O21" s="469"/>
      <c r="P21" s="470"/>
      <c r="Q21" s="471"/>
      <c r="R21" s="472"/>
      <c r="S21" s="473"/>
      <c r="T21" s="474"/>
      <c r="U21" s="475">
        <f t="shared" si="3"/>
        <v>0</v>
      </c>
      <c r="V21" s="475">
        <f t="shared" si="1"/>
        <v>0</v>
      </c>
      <c r="W21" s="475">
        <f>U21*3.7</f>
        <v>0</v>
      </c>
      <c r="X21" s="476">
        <f t="shared" si="6"/>
        <v>0</v>
      </c>
    </row>
    <row r="22" spans="2:24" ht="14.5" x14ac:dyDescent="0.35">
      <c r="F22" s="1010"/>
      <c r="G22" s="935">
        <f>SUM(G7:G21)</f>
        <v>0</v>
      </c>
      <c r="H22" s="935">
        <f t="shared" ref="H22:W22" si="7">SUM(H7:H21)</f>
        <v>0</v>
      </c>
      <c r="I22" s="935">
        <f t="shared" si="7"/>
        <v>0</v>
      </c>
      <c r="J22" s="935">
        <f t="shared" si="7"/>
        <v>0</v>
      </c>
      <c r="K22" s="935">
        <f t="shared" si="7"/>
        <v>0</v>
      </c>
      <c r="L22" s="935">
        <f t="shared" si="7"/>
        <v>0</v>
      </c>
      <c r="M22" s="935">
        <f t="shared" si="7"/>
        <v>0</v>
      </c>
      <c r="N22" s="935">
        <f t="shared" si="7"/>
        <v>0</v>
      </c>
      <c r="O22" s="935">
        <f t="shared" si="7"/>
        <v>0</v>
      </c>
      <c r="P22" s="935">
        <f t="shared" si="7"/>
        <v>0</v>
      </c>
      <c r="Q22" s="935">
        <f t="shared" si="7"/>
        <v>0</v>
      </c>
      <c r="R22" s="935">
        <f t="shared" si="7"/>
        <v>0</v>
      </c>
      <c r="S22" s="935">
        <f t="shared" si="7"/>
        <v>0</v>
      </c>
      <c r="T22" s="935">
        <f t="shared" si="7"/>
        <v>0</v>
      </c>
      <c r="U22" s="935">
        <f t="shared" si="7"/>
        <v>0</v>
      </c>
      <c r="V22" s="935">
        <f t="shared" si="7"/>
        <v>0</v>
      </c>
      <c r="W22" s="935">
        <f t="shared" si="7"/>
        <v>0</v>
      </c>
      <c r="X22" s="478">
        <f>SUM(X7:X21)</f>
        <v>0</v>
      </c>
    </row>
    <row r="23" spans="2:24" ht="14.5" x14ac:dyDescent="0.35">
      <c r="F23" s="1010"/>
      <c r="G23" s="936"/>
      <c r="J23" s="479"/>
      <c r="X23" s="134"/>
    </row>
    <row r="24" spans="2:24" ht="15.75" customHeight="1" x14ac:dyDescent="0.35">
      <c r="B24" s="241"/>
      <c r="C24" s="241"/>
      <c r="D24" s="76"/>
      <c r="E24" s="241"/>
      <c r="F24" s="1011"/>
      <c r="G24" s="872"/>
      <c r="H24" s="3"/>
      <c r="I24" s="3"/>
      <c r="J24" s="11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480"/>
    </row>
    <row r="25" spans="2:24" ht="46.5" customHeight="1" x14ac:dyDescent="0.35">
      <c r="B25" s="1044" t="s">
        <v>1001</v>
      </c>
      <c r="C25" s="1044"/>
      <c r="D25" s="890">
        <f>SUM(D26:D63)</f>
        <v>200</v>
      </c>
      <c r="E25" s="926" t="s">
        <v>988</v>
      </c>
      <c r="F25" s="931">
        <f>SUM(F26:F63)*0.95</f>
        <v>6395.4759999999997</v>
      </c>
      <c r="G25" s="954"/>
      <c r="H25" s="955"/>
      <c r="I25" s="956"/>
      <c r="J25" s="957"/>
      <c r="K25" s="958"/>
      <c r="L25" s="959"/>
      <c r="M25" s="960"/>
      <c r="N25" s="961"/>
      <c r="O25" s="962"/>
      <c r="P25" s="963"/>
      <c r="Q25" s="964"/>
      <c r="R25" s="965"/>
      <c r="S25" s="966"/>
      <c r="T25" s="967"/>
      <c r="U25" s="968">
        <f t="shared" ref="U25" si="8">SUM(G25:T25)</f>
        <v>0</v>
      </c>
      <c r="V25" s="968">
        <f t="shared" ref="V25:V30" si="9">D25*U25</f>
        <v>0</v>
      </c>
      <c r="W25" s="968">
        <f>U25*0.83</f>
        <v>0</v>
      </c>
      <c r="X25" s="969">
        <f t="shared" ref="X25" si="10">F25*U25</f>
        <v>0</v>
      </c>
    </row>
    <row r="26" spans="2:24" ht="99.75" customHeight="1" thickBot="1" x14ac:dyDescent="0.4">
      <c r="B26" s="953" t="s">
        <v>1000</v>
      </c>
      <c r="C26" s="870"/>
      <c r="D26" s="870">
        <v>10</v>
      </c>
      <c r="E26" s="870" t="s">
        <v>467</v>
      </c>
      <c r="F26" s="883">
        <v>72.100000000000009</v>
      </c>
      <c r="G26" s="937"/>
      <c r="H26" s="938"/>
      <c r="I26" s="939"/>
      <c r="J26" s="940"/>
      <c r="K26" s="941"/>
      <c r="L26" s="942"/>
      <c r="M26" s="943"/>
      <c r="N26" s="944"/>
      <c r="O26" s="945"/>
      <c r="P26" s="946"/>
      <c r="Q26" s="947"/>
      <c r="R26" s="948"/>
      <c r="S26" s="949"/>
      <c r="T26" s="950"/>
      <c r="U26" s="951">
        <f t="shared" ref="U26:U63" si="11">SUM(G26:T26)</f>
        <v>0</v>
      </c>
      <c r="V26" s="951">
        <f t="shared" si="9"/>
        <v>0</v>
      </c>
      <c r="W26" s="951">
        <f>U26*0.83</f>
        <v>0</v>
      </c>
      <c r="X26" s="952">
        <f t="shared" ref="X26:X27" si="12">F26*U26</f>
        <v>0</v>
      </c>
    </row>
    <row r="27" spans="2:24" ht="99.75" customHeight="1" thickBot="1" x14ac:dyDescent="0.4">
      <c r="B27" s="142" t="s">
        <v>468</v>
      </c>
      <c r="C27" s="144"/>
      <c r="D27" s="144">
        <v>10</v>
      </c>
      <c r="E27" s="144" t="s">
        <v>469</v>
      </c>
      <c r="F27" s="884">
        <v>101.97</v>
      </c>
      <c r="G27" s="481"/>
      <c r="H27" s="482"/>
      <c r="I27" s="483"/>
      <c r="J27" s="484"/>
      <c r="K27" s="485"/>
      <c r="L27" s="486"/>
      <c r="M27" s="487"/>
      <c r="N27" s="488"/>
      <c r="O27" s="489"/>
      <c r="P27" s="490"/>
      <c r="Q27" s="491"/>
      <c r="R27" s="492"/>
      <c r="S27" s="493"/>
      <c r="T27" s="494"/>
      <c r="U27" s="449">
        <f t="shared" si="11"/>
        <v>0</v>
      </c>
      <c r="V27" s="449">
        <f t="shared" si="9"/>
        <v>0</v>
      </c>
      <c r="W27" s="160">
        <f>U27*1.18</f>
        <v>0</v>
      </c>
      <c r="X27" s="450">
        <f t="shared" si="12"/>
        <v>0</v>
      </c>
    </row>
    <row r="28" spans="2:24" ht="99.75" customHeight="1" x14ac:dyDescent="0.35">
      <c r="B28" s="164" t="s">
        <v>85</v>
      </c>
      <c r="C28" s="113"/>
      <c r="D28" s="113">
        <v>10</v>
      </c>
      <c r="E28" s="113" t="s">
        <v>470</v>
      </c>
      <c r="F28" s="884">
        <v>52.53</v>
      </c>
      <c r="G28" s="213"/>
      <c r="H28" s="214"/>
      <c r="I28" s="215"/>
      <c r="J28" s="216"/>
      <c r="K28" s="217"/>
      <c r="L28" s="218"/>
      <c r="M28" s="219"/>
      <c r="N28" s="220"/>
      <c r="O28" s="221"/>
      <c r="P28" s="222"/>
      <c r="Q28" s="223"/>
      <c r="R28" s="224"/>
      <c r="S28" s="225"/>
      <c r="T28" s="226"/>
      <c r="U28" s="129">
        <f t="shared" si="11"/>
        <v>0</v>
      </c>
      <c r="V28" s="449">
        <f t="shared" si="9"/>
        <v>0</v>
      </c>
      <c r="W28" s="129">
        <f>U28*0.43</f>
        <v>0</v>
      </c>
      <c r="X28" s="166">
        <f t="shared" ref="X28:X63" si="13">U28*F28</f>
        <v>0</v>
      </c>
    </row>
    <row r="29" spans="2:24" ht="99.75" customHeight="1" x14ac:dyDescent="0.35">
      <c r="B29" s="164" t="s">
        <v>391</v>
      </c>
      <c r="C29" s="113"/>
      <c r="D29" s="113">
        <v>9</v>
      </c>
      <c r="E29" s="113" t="s">
        <v>471</v>
      </c>
      <c r="F29" s="884">
        <v>121.54</v>
      </c>
      <c r="G29" s="213"/>
      <c r="H29" s="214"/>
      <c r="I29" s="215"/>
      <c r="J29" s="216"/>
      <c r="K29" s="217"/>
      <c r="L29" s="218"/>
      <c r="M29" s="219"/>
      <c r="N29" s="220"/>
      <c r="O29" s="221"/>
      <c r="P29" s="222"/>
      <c r="Q29" s="223"/>
      <c r="R29" s="224"/>
      <c r="S29" s="225"/>
      <c r="T29" s="226"/>
      <c r="U29" s="129">
        <f t="shared" si="11"/>
        <v>0</v>
      </c>
      <c r="V29" s="129">
        <f t="shared" si="9"/>
        <v>0</v>
      </c>
      <c r="W29" s="129">
        <f>U29*2.02</f>
        <v>0</v>
      </c>
      <c r="X29" s="166">
        <f t="shared" si="13"/>
        <v>0</v>
      </c>
    </row>
    <row r="30" spans="2:24" ht="99.75" customHeight="1" x14ac:dyDescent="0.35">
      <c r="B30" s="164" t="s">
        <v>472</v>
      </c>
      <c r="C30" s="113"/>
      <c r="D30" s="113">
        <v>5</v>
      </c>
      <c r="E30" s="113" t="s">
        <v>473</v>
      </c>
      <c r="F30" s="884">
        <v>120.51</v>
      </c>
      <c r="G30" s="213"/>
      <c r="H30" s="214"/>
      <c r="I30" s="215"/>
      <c r="J30" s="216"/>
      <c r="K30" s="217"/>
      <c r="L30" s="218"/>
      <c r="M30" s="219"/>
      <c r="N30" s="220"/>
      <c r="O30" s="221"/>
      <c r="P30" s="222"/>
      <c r="Q30" s="223"/>
      <c r="R30" s="224"/>
      <c r="S30" s="225"/>
      <c r="T30" s="226"/>
      <c r="U30" s="129">
        <f t="shared" si="11"/>
        <v>0</v>
      </c>
      <c r="V30" s="129">
        <f t="shared" si="9"/>
        <v>0</v>
      </c>
      <c r="W30" s="129">
        <f>U30*2.2</f>
        <v>0</v>
      </c>
      <c r="X30" s="166">
        <f t="shared" si="13"/>
        <v>0</v>
      </c>
    </row>
    <row r="31" spans="2:24" ht="99.75" customHeight="1" x14ac:dyDescent="0.35">
      <c r="B31" s="164" t="s">
        <v>474</v>
      </c>
      <c r="C31" s="113"/>
      <c r="D31" s="113">
        <v>5</v>
      </c>
      <c r="E31" s="113" t="s">
        <v>475</v>
      </c>
      <c r="F31" s="884">
        <v>143.17000000000002</v>
      </c>
      <c r="G31" s="213"/>
      <c r="H31" s="214"/>
      <c r="I31" s="215"/>
      <c r="J31" s="216"/>
      <c r="K31" s="217"/>
      <c r="L31" s="218"/>
      <c r="M31" s="219"/>
      <c r="N31" s="220"/>
      <c r="O31" s="221"/>
      <c r="P31" s="222"/>
      <c r="Q31" s="223"/>
      <c r="R31" s="224"/>
      <c r="S31" s="225"/>
      <c r="T31" s="226"/>
      <c r="U31" s="129">
        <f t="shared" si="11"/>
        <v>0</v>
      </c>
      <c r="V31" s="129">
        <f>U31*D31</f>
        <v>0</v>
      </c>
      <c r="W31" s="129">
        <f>U31*1.5</f>
        <v>0</v>
      </c>
      <c r="X31" s="166">
        <f t="shared" si="13"/>
        <v>0</v>
      </c>
    </row>
    <row r="32" spans="2:24" ht="99.75" customHeight="1" x14ac:dyDescent="0.35">
      <c r="B32" s="265" t="s">
        <v>476</v>
      </c>
      <c r="C32" s="113"/>
      <c r="D32" s="113">
        <v>10</v>
      </c>
      <c r="E32" s="113" t="s">
        <v>477</v>
      </c>
      <c r="F32" s="884">
        <v>131.84</v>
      </c>
      <c r="G32" s="213"/>
      <c r="H32" s="214"/>
      <c r="I32" s="215"/>
      <c r="J32" s="216"/>
      <c r="K32" s="217"/>
      <c r="L32" s="218"/>
      <c r="M32" s="219"/>
      <c r="N32" s="220"/>
      <c r="O32" s="221"/>
      <c r="P32" s="222"/>
      <c r="Q32" s="223"/>
      <c r="R32" s="224"/>
      <c r="S32" s="225"/>
      <c r="T32" s="226"/>
      <c r="U32" s="129">
        <f t="shared" si="11"/>
        <v>0</v>
      </c>
      <c r="V32" s="129">
        <f>D32*U32</f>
        <v>0</v>
      </c>
      <c r="W32" s="129">
        <f>U32*2.14</f>
        <v>0</v>
      </c>
      <c r="X32" s="166">
        <f t="shared" si="13"/>
        <v>0</v>
      </c>
    </row>
    <row r="33" spans="1:26" ht="99.75" customHeight="1" x14ac:dyDescent="0.35">
      <c r="B33" s="265" t="s">
        <v>478</v>
      </c>
      <c r="C33" s="113"/>
      <c r="D33" s="113">
        <v>10</v>
      </c>
      <c r="E33" s="113" t="s">
        <v>479</v>
      </c>
      <c r="F33" s="884">
        <v>152.44</v>
      </c>
      <c r="G33" s="213"/>
      <c r="H33" s="214"/>
      <c r="I33" s="215"/>
      <c r="J33" s="216"/>
      <c r="K33" s="217"/>
      <c r="L33" s="218"/>
      <c r="M33" s="219"/>
      <c r="N33" s="220"/>
      <c r="O33" s="221"/>
      <c r="P33" s="222"/>
      <c r="Q33" s="223"/>
      <c r="R33" s="224"/>
      <c r="S33" s="225"/>
      <c r="T33" s="226"/>
      <c r="U33" s="129">
        <f t="shared" si="11"/>
        <v>0</v>
      </c>
      <c r="V33" s="129">
        <f>U33*D33</f>
        <v>0</v>
      </c>
      <c r="W33" s="129">
        <f>U33*2.24</f>
        <v>0</v>
      </c>
      <c r="X33" s="166">
        <f t="shared" si="13"/>
        <v>0</v>
      </c>
    </row>
    <row r="34" spans="1:26" ht="99.75" customHeight="1" x14ac:dyDescent="0.35">
      <c r="B34" s="265" t="s">
        <v>480</v>
      </c>
      <c r="C34" s="113"/>
      <c r="D34" s="113">
        <v>10</v>
      </c>
      <c r="E34" s="113" t="s">
        <v>481</v>
      </c>
      <c r="F34" s="884">
        <v>157.59</v>
      </c>
      <c r="G34" s="213"/>
      <c r="H34" s="214"/>
      <c r="I34" s="215"/>
      <c r="J34" s="216"/>
      <c r="K34" s="217"/>
      <c r="L34" s="218"/>
      <c r="M34" s="219"/>
      <c r="N34" s="220"/>
      <c r="O34" s="221"/>
      <c r="P34" s="222"/>
      <c r="Q34" s="223"/>
      <c r="R34" s="224"/>
      <c r="S34" s="225"/>
      <c r="T34" s="226"/>
      <c r="U34" s="129">
        <f t="shared" si="11"/>
        <v>0</v>
      </c>
      <c r="V34" s="129">
        <f>U34*D34</f>
        <v>0</v>
      </c>
      <c r="W34" s="129">
        <f>U34*2.34</f>
        <v>0</v>
      </c>
      <c r="X34" s="166">
        <f t="shared" si="13"/>
        <v>0</v>
      </c>
    </row>
    <row r="35" spans="1:26" ht="99.75" customHeight="1" x14ac:dyDescent="0.35">
      <c r="A35" s="133"/>
      <c r="B35" s="495" t="s">
        <v>482</v>
      </c>
      <c r="C35" s="496"/>
      <c r="D35" s="497">
        <v>5</v>
      </c>
      <c r="E35" s="497" t="s">
        <v>483</v>
      </c>
      <c r="F35" s="1012">
        <v>122.57000000000001</v>
      </c>
      <c r="G35" s="213"/>
      <c r="H35" s="214"/>
      <c r="I35" s="215"/>
      <c r="J35" s="498"/>
      <c r="K35" s="499"/>
      <c r="L35" s="218"/>
      <c r="M35" s="219"/>
      <c r="N35" s="220"/>
      <c r="O35" s="221"/>
      <c r="P35" s="222"/>
      <c r="Q35" s="500"/>
      <c r="R35" s="501"/>
      <c r="S35" s="502"/>
      <c r="T35" s="264"/>
      <c r="U35" s="496">
        <f t="shared" si="11"/>
        <v>0</v>
      </c>
      <c r="V35" s="496">
        <f>D35*U35</f>
        <v>0</v>
      </c>
      <c r="W35" s="496">
        <f>U35*2.29</f>
        <v>0</v>
      </c>
      <c r="X35" s="503">
        <f t="shared" si="13"/>
        <v>0</v>
      </c>
      <c r="Y35" s="133"/>
      <c r="Z35" s="133"/>
    </row>
    <row r="36" spans="1:26" ht="99.75" customHeight="1" x14ac:dyDescent="0.35">
      <c r="B36" s="265" t="s">
        <v>484</v>
      </c>
      <c r="C36" s="113"/>
      <c r="D36" s="113">
        <v>5</v>
      </c>
      <c r="E36" s="113" t="s">
        <v>485</v>
      </c>
      <c r="F36" s="884">
        <v>131.84</v>
      </c>
      <c r="G36" s="213"/>
      <c r="H36" s="214"/>
      <c r="I36" s="215"/>
      <c r="J36" s="216"/>
      <c r="K36" s="217"/>
      <c r="L36" s="218"/>
      <c r="M36" s="219"/>
      <c r="N36" s="220"/>
      <c r="O36" s="221"/>
      <c r="P36" s="222"/>
      <c r="Q36" s="223"/>
      <c r="R36" s="224"/>
      <c r="S36" s="225"/>
      <c r="T36" s="226"/>
      <c r="U36" s="129">
        <f t="shared" si="11"/>
        <v>0</v>
      </c>
      <c r="V36" s="129">
        <f>D36*U36</f>
        <v>0</v>
      </c>
      <c r="W36" s="129">
        <f>U36*2.24</f>
        <v>0</v>
      </c>
      <c r="X36" s="166">
        <f t="shared" si="13"/>
        <v>0</v>
      </c>
    </row>
    <row r="37" spans="1:26" ht="99.75" customHeight="1" x14ac:dyDescent="0.35">
      <c r="B37" s="265" t="s">
        <v>486</v>
      </c>
      <c r="C37" s="113"/>
      <c r="D37" s="113">
        <v>5</v>
      </c>
      <c r="E37" s="113" t="s">
        <v>487</v>
      </c>
      <c r="F37" s="884">
        <v>152.44</v>
      </c>
      <c r="G37" s="213"/>
      <c r="H37" s="214"/>
      <c r="I37" s="215"/>
      <c r="J37" s="216"/>
      <c r="K37" s="217"/>
      <c r="L37" s="218"/>
      <c r="M37" s="219"/>
      <c r="N37" s="220"/>
      <c r="O37" s="221"/>
      <c r="P37" s="222"/>
      <c r="Q37" s="223"/>
      <c r="R37" s="224"/>
      <c r="S37" s="225"/>
      <c r="T37" s="226"/>
      <c r="U37" s="129">
        <f t="shared" si="11"/>
        <v>0</v>
      </c>
      <c r="V37" s="129">
        <f>U37*D37</f>
        <v>0</v>
      </c>
      <c r="W37" s="129">
        <f>U37*2.55</f>
        <v>0</v>
      </c>
      <c r="X37" s="166">
        <f t="shared" si="13"/>
        <v>0</v>
      </c>
    </row>
    <row r="38" spans="1:26" ht="99.75" customHeight="1" x14ac:dyDescent="0.35">
      <c r="B38" s="265" t="s">
        <v>488</v>
      </c>
      <c r="C38" s="113"/>
      <c r="D38" s="113">
        <v>10</v>
      </c>
      <c r="E38" s="113" t="s">
        <v>489</v>
      </c>
      <c r="F38" s="884">
        <v>189.52</v>
      </c>
      <c r="G38" s="213"/>
      <c r="H38" s="214"/>
      <c r="I38" s="215"/>
      <c r="J38" s="216"/>
      <c r="K38" s="217"/>
      <c r="L38" s="218"/>
      <c r="M38" s="219"/>
      <c r="N38" s="220"/>
      <c r="O38" s="221"/>
      <c r="P38" s="222"/>
      <c r="Q38" s="223"/>
      <c r="R38" s="224"/>
      <c r="S38" s="225"/>
      <c r="T38" s="226"/>
      <c r="U38" s="129">
        <f t="shared" si="11"/>
        <v>0</v>
      </c>
      <c r="V38" s="129">
        <f>U38*D38</f>
        <v>0</v>
      </c>
      <c r="W38" s="129">
        <f>U38*2.95</f>
        <v>0</v>
      </c>
      <c r="X38" s="166">
        <f t="shared" si="13"/>
        <v>0</v>
      </c>
    </row>
    <row r="39" spans="1:26" ht="99.75" customHeight="1" x14ac:dyDescent="0.35">
      <c r="B39" s="265" t="s">
        <v>490</v>
      </c>
      <c r="C39" s="113"/>
      <c r="D39" s="113">
        <v>5</v>
      </c>
      <c r="E39" s="113" t="s">
        <v>491</v>
      </c>
      <c r="F39" s="884">
        <v>166.86</v>
      </c>
      <c r="G39" s="213"/>
      <c r="H39" s="214"/>
      <c r="I39" s="215"/>
      <c r="J39" s="216"/>
      <c r="K39" s="217"/>
      <c r="L39" s="218"/>
      <c r="M39" s="219"/>
      <c r="N39" s="220"/>
      <c r="O39" s="221"/>
      <c r="P39" s="222"/>
      <c r="Q39" s="223"/>
      <c r="R39" s="224"/>
      <c r="S39" s="225"/>
      <c r="T39" s="226"/>
      <c r="U39" s="129">
        <f t="shared" si="11"/>
        <v>0</v>
      </c>
      <c r="V39" s="129">
        <f t="shared" ref="V39:V47" si="14">D39*U39</f>
        <v>0</v>
      </c>
      <c r="W39" s="129">
        <f>U39*1.92</f>
        <v>0</v>
      </c>
      <c r="X39" s="166">
        <f t="shared" si="13"/>
        <v>0</v>
      </c>
    </row>
    <row r="40" spans="1:26" ht="99.75" customHeight="1" x14ac:dyDescent="0.35">
      <c r="B40" s="265" t="s">
        <v>492</v>
      </c>
      <c r="C40" s="113"/>
      <c r="D40" s="113">
        <v>5</v>
      </c>
      <c r="E40" s="113" t="s">
        <v>493</v>
      </c>
      <c r="F40" s="884">
        <v>165.83</v>
      </c>
      <c r="G40" s="213"/>
      <c r="H40" s="214"/>
      <c r="I40" s="215"/>
      <c r="J40" s="216"/>
      <c r="K40" s="217"/>
      <c r="L40" s="218"/>
      <c r="M40" s="219"/>
      <c r="N40" s="220"/>
      <c r="O40" s="221"/>
      <c r="P40" s="222"/>
      <c r="Q40" s="223"/>
      <c r="R40" s="224"/>
      <c r="S40" s="225"/>
      <c r="T40" s="226"/>
      <c r="U40" s="129">
        <f t="shared" si="11"/>
        <v>0</v>
      </c>
      <c r="V40" s="129">
        <f t="shared" si="14"/>
        <v>0</v>
      </c>
      <c r="W40" s="129">
        <f>U40*1.9</f>
        <v>0</v>
      </c>
      <c r="X40" s="166">
        <f t="shared" si="13"/>
        <v>0</v>
      </c>
    </row>
    <row r="41" spans="1:26" ht="99.75" customHeight="1" x14ac:dyDescent="0.35">
      <c r="B41" s="265" t="s">
        <v>494</v>
      </c>
      <c r="C41" s="113"/>
      <c r="D41" s="113">
        <v>5</v>
      </c>
      <c r="E41" s="113" t="s">
        <v>495</v>
      </c>
      <c r="F41" s="884">
        <v>180.25</v>
      </c>
      <c r="G41" s="213"/>
      <c r="H41" s="214"/>
      <c r="I41" s="215"/>
      <c r="J41" s="216"/>
      <c r="K41" s="217"/>
      <c r="L41" s="218"/>
      <c r="M41" s="219"/>
      <c r="N41" s="220"/>
      <c r="O41" s="221"/>
      <c r="P41" s="222"/>
      <c r="Q41" s="223"/>
      <c r="R41" s="224"/>
      <c r="S41" s="225"/>
      <c r="T41" s="226"/>
      <c r="U41" s="129">
        <f t="shared" si="11"/>
        <v>0</v>
      </c>
      <c r="V41" s="129">
        <f t="shared" si="14"/>
        <v>0</v>
      </c>
      <c r="W41" s="129">
        <f>U41*1.7</f>
        <v>0</v>
      </c>
      <c r="X41" s="166">
        <f t="shared" si="13"/>
        <v>0</v>
      </c>
    </row>
    <row r="42" spans="1:26" ht="99.75" customHeight="1" x14ac:dyDescent="0.35">
      <c r="B42" s="265" t="s">
        <v>496</v>
      </c>
      <c r="C42" s="113"/>
      <c r="D42" s="113">
        <v>5</v>
      </c>
      <c r="E42" s="113" t="s">
        <v>497</v>
      </c>
      <c r="F42" s="884">
        <v>166.86</v>
      </c>
      <c r="G42" s="213"/>
      <c r="H42" s="214"/>
      <c r="I42" s="215"/>
      <c r="J42" s="216"/>
      <c r="K42" s="217"/>
      <c r="L42" s="218"/>
      <c r="M42" s="219"/>
      <c r="N42" s="220"/>
      <c r="O42" s="221"/>
      <c r="P42" s="222"/>
      <c r="Q42" s="223"/>
      <c r="R42" s="224"/>
      <c r="S42" s="225"/>
      <c r="T42" s="226"/>
      <c r="U42" s="129">
        <f t="shared" si="11"/>
        <v>0</v>
      </c>
      <c r="V42" s="129">
        <f t="shared" si="14"/>
        <v>0</v>
      </c>
      <c r="W42" s="129">
        <f>U42*1.5</f>
        <v>0</v>
      </c>
      <c r="X42" s="166">
        <f t="shared" si="13"/>
        <v>0</v>
      </c>
    </row>
    <row r="43" spans="1:26" ht="99.75" customHeight="1" x14ac:dyDescent="0.35">
      <c r="B43" s="265" t="s">
        <v>498</v>
      </c>
      <c r="C43" s="113"/>
      <c r="D43" s="113">
        <v>5</v>
      </c>
      <c r="E43" s="113" t="s">
        <v>499</v>
      </c>
      <c r="F43" s="884">
        <v>275.01</v>
      </c>
      <c r="G43" s="213"/>
      <c r="H43" s="214"/>
      <c r="I43" s="215"/>
      <c r="J43" s="216"/>
      <c r="K43" s="217"/>
      <c r="L43" s="218"/>
      <c r="M43" s="219"/>
      <c r="N43" s="220"/>
      <c r="O43" s="221"/>
      <c r="P43" s="222"/>
      <c r="Q43" s="223"/>
      <c r="R43" s="224"/>
      <c r="S43" s="225"/>
      <c r="T43" s="226"/>
      <c r="U43" s="129">
        <f t="shared" si="11"/>
        <v>0</v>
      </c>
      <c r="V43" s="129">
        <f t="shared" si="14"/>
        <v>0</v>
      </c>
      <c r="W43" s="129">
        <f>U43*3.95</f>
        <v>0</v>
      </c>
      <c r="X43" s="166">
        <f t="shared" si="13"/>
        <v>0</v>
      </c>
    </row>
    <row r="44" spans="1:26" ht="99.75" customHeight="1" x14ac:dyDescent="0.35">
      <c r="B44" s="164" t="s">
        <v>103</v>
      </c>
      <c r="C44" s="113"/>
      <c r="D44" s="113">
        <v>3</v>
      </c>
      <c r="E44" s="113" t="s">
        <v>500</v>
      </c>
      <c r="F44" s="884">
        <v>169.95000000000002</v>
      </c>
      <c r="G44" s="213"/>
      <c r="H44" s="214"/>
      <c r="I44" s="215"/>
      <c r="J44" s="216"/>
      <c r="K44" s="217"/>
      <c r="L44" s="218"/>
      <c r="M44" s="219"/>
      <c r="N44" s="220"/>
      <c r="O44" s="221"/>
      <c r="P44" s="222"/>
      <c r="Q44" s="223"/>
      <c r="R44" s="224"/>
      <c r="S44" s="225"/>
      <c r="T44" s="226"/>
      <c r="U44" s="129">
        <f t="shared" si="11"/>
        <v>0</v>
      </c>
      <c r="V44" s="129">
        <f t="shared" si="14"/>
        <v>0</v>
      </c>
      <c r="W44" s="129">
        <f>U44*2.4</f>
        <v>0</v>
      </c>
      <c r="X44" s="166">
        <f t="shared" si="13"/>
        <v>0</v>
      </c>
    </row>
    <row r="45" spans="1:26" ht="99.75" customHeight="1" x14ac:dyDescent="0.35">
      <c r="B45" s="164" t="s">
        <v>105</v>
      </c>
      <c r="C45" s="113"/>
      <c r="D45" s="113">
        <v>3</v>
      </c>
      <c r="E45" s="113" t="s">
        <v>501</v>
      </c>
      <c r="F45" s="884">
        <v>252.35</v>
      </c>
      <c r="G45" s="213"/>
      <c r="H45" s="214"/>
      <c r="I45" s="215"/>
      <c r="J45" s="216"/>
      <c r="K45" s="217"/>
      <c r="L45" s="218"/>
      <c r="M45" s="219"/>
      <c r="N45" s="220"/>
      <c r="O45" s="221"/>
      <c r="P45" s="222"/>
      <c r="Q45" s="223"/>
      <c r="R45" s="224"/>
      <c r="S45" s="225"/>
      <c r="T45" s="226"/>
      <c r="U45" s="129">
        <f t="shared" si="11"/>
        <v>0</v>
      </c>
      <c r="V45" s="129">
        <f t="shared" si="14"/>
        <v>0</v>
      </c>
      <c r="W45" s="129">
        <f>U45*3.94</f>
        <v>0</v>
      </c>
      <c r="X45" s="166">
        <f t="shared" si="13"/>
        <v>0</v>
      </c>
    </row>
    <row r="46" spans="1:26" ht="99.75" customHeight="1" x14ac:dyDescent="0.35">
      <c r="B46" s="164" t="s">
        <v>107</v>
      </c>
      <c r="C46" s="167"/>
      <c r="D46" s="113">
        <v>3</v>
      </c>
      <c r="E46" s="113" t="s">
        <v>502</v>
      </c>
      <c r="F46" s="884">
        <v>284.28000000000003</v>
      </c>
      <c r="G46" s="213"/>
      <c r="H46" s="214"/>
      <c r="I46" s="215"/>
      <c r="J46" s="216"/>
      <c r="K46" s="217"/>
      <c r="L46" s="218"/>
      <c r="M46" s="219"/>
      <c r="N46" s="220"/>
      <c r="O46" s="221"/>
      <c r="P46" s="222"/>
      <c r="Q46" s="223"/>
      <c r="R46" s="224"/>
      <c r="S46" s="225"/>
      <c r="T46" s="226"/>
      <c r="U46" s="129">
        <f t="shared" si="11"/>
        <v>0</v>
      </c>
      <c r="V46" s="129">
        <f t="shared" si="14"/>
        <v>0</v>
      </c>
      <c r="W46" s="129">
        <f>U46*4.6</f>
        <v>0</v>
      </c>
      <c r="X46" s="166">
        <f t="shared" si="13"/>
        <v>0</v>
      </c>
    </row>
    <row r="47" spans="1:26" ht="99.75" customHeight="1" x14ac:dyDescent="0.35">
      <c r="B47" s="164" t="s">
        <v>503</v>
      </c>
      <c r="C47" s="167"/>
      <c r="D47" s="113">
        <v>5</v>
      </c>
      <c r="E47" s="113" t="s">
        <v>504</v>
      </c>
      <c r="F47" s="884">
        <v>200.85</v>
      </c>
      <c r="G47" s="213"/>
      <c r="H47" s="214"/>
      <c r="I47" s="215"/>
      <c r="J47" s="216"/>
      <c r="K47" s="217"/>
      <c r="L47" s="218"/>
      <c r="M47" s="219"/>
      <c r="N47" s="220"/>
      <c r="O47" s="221"/>
      <c r="P47" s="222"/>
      <c r="Q47" s="223"/>
      <c r="R47" s="224"/>
      <c r="S47" s="225"/>
      <c r="T47" s="226"/>
      <c r="U47" s="129">
        <f t="shared" si="11"/>
        <v>0</v>
      </c>
      <c r="V47" s="129">
        <f t="shared" si="14"/>
        <v>0</v>
      </c>
      <c r="W47" s="129">
        <f>U47*2.55</f>
        <v>0</v>
      </c>
      <c r="X47" s="166">
        <f t="shared" si="13"/>
        <v>0</v>
      </c>
    </row>
    <row r="48" spans="1:26" ht="99.75" customHeight="1" x14ac:dyDescent="0.35">
      <c r="B48" s="164" t="s">
        <v>425</v>
      </c>
      <c r="C48" s="167"/>
      <c r="D48" s="113">
        <v>5</v>
      </c>
      <c r="E48" s="113" t="s">
        <v>505</v>
      </c>
      <c r="F48" s="884">
        <v>259.56</v>
      </c>
      <c r="G48" s="213"/>
      <c r="H48" s="214"/>
      <c r="I48" s="215"/>
      <c r="J48" s="216"/>
      <c r="K48" s="217"/>
      <c r="L48" s="218"/>
      <c r="M48" s="219"/>
      <c r="N48" s="220"/>
      <c r="O48" s="221"/>
      <c r="P48" s="222"/>
      <c r="Q48" s="223"/>
      <c r="R48" s="224"/>
      <c r="S48" s="225"/>
      <c r="T48" s="226"/>
      <c r="U48" s="129">
        <f t="shared" si="11"/>
        <v>0</v>
      </c>
      <c r="V48" s="129">
        <f>U48*D48</f>
        <v>0</v>
      </c>
      <c r="W48" s="129">
        <f>U48*3.66</f>
        <v>0</v>
      </c>
      <c r="X48" s="166">
        <f t="shared" si="13"/>
        <v>0</v>
      </c>
    </row>
    <row r="49" spans="2:24" ht="99.75" customHeight="1" x14ac:dyDescent="0.35">
      <c r="B49" s="164" t="s">
        <v>506</v>
      </c>
      <c r="C49" s="167"/>
      <c r="D49" s="113">
        <v>4</v>
      </c>
      <c r="E49" s="113" t="s">
        <v>507</v>
      </c>
      <c r="F49" s="884">
        <v>250.29000000000002</v>
      </c>
      <c r="G49" s="213"/>
      <c r="H49" s="214"/>
      <c r="I49" s="215"/>
      <c r="J49" s="216"/>
      <c r="K49" s="217"/>
      <c r="L49" s="218"/>
      <c r="M49" s="219"/>
      <c r="N49" s="220"/>
      <c r="O49" s="221"/>
      <c r="P49" s="222"/>
      <c r="Q49" s="223"/>
      <c r="R49" s="224"/>
      <c r="S49" s="225"/>
      <c r="T49" s="226"/>
      <c r="U49" s="129">
        <f t="shared" si="11"/>
        <v>0</v>
      </c>
      <c r="V49" s="129">
        <f t="shared" ref="V49:V63" si="15">D49*U49</f>
        <v>0</v>
      </c>
      <c r="W49" s="129">
        <f>U49*3.7</f>
        <v>0</v>
      </c>
      <c r="X49" s="166">
        <f t="shared" si="13"/>
        <v>0</v>
      </c>
    </row>
    <row r="50" spans="2:24" ht="99.75" customHeight="1" x14ac:dyDescent="0.35">
      <c r="B50" s="164" t="s">
        <v>508</v>
      </c>
      <c r="C50" s="113"/>
      <c r="D50" s="113">
        <v>5</v>
      </c>
      <c r="E50" s="113" t="s">
        <v>509</v>
      </c>
      <c r="F50" s="884">
        <v>154.5</v>
      </c>
      <c r="G50" s="213"/>
      <c r="H50" s="214"/>
      <c r="I50" s="215"/>
      <c r="J50" s="216"/>
      <c r="K50" s="217"/>
      <c r="L50" s="218"/>
      <c r="M50" s="219"/>
      <c r="N50" s="220"/>
      <c r="O50" s="221"/>
      <c r="P50" s="222"/>
      <c r="Q50" s="223"/>
      <c r="R50" s="224"/>
      <c r="S50" s="225"/>
      <c r="T50" s="226"/>
      <c r="U50" s="129">
        <f t="shared" si="11"/>
        <v>0</v>
      </c>
      <c r="V50" s="129">
        <f t="shared" si="15"/>
        <v>0</v>
      </c>
      <c r="W50" s="129">
        <f>U50*2.62</f>
        <v>0</v>
      </c>
      <c r="X50" s="166">
        <f t="shared" si="13"/>
        <v>0</v>
      </c>
    </row>
    <row r="51" spans="2:24" ht="99.75" customHeight="1" x14ac:dyDescent="0.35">
      <c r="B51" s="164" t="s">
        <v>116</v>
      </c>
      <c r="C51" s="113"/>
      <c r="D51" s="113">
        <v>5</v>
      </c>
      <c r="E51" s="113" t="s">
        <v>510</v>
      </c>
      <c r="F51" s="884">
        <v>172.01</v>
      </c>
      <c r="G51" s="213"/>
      <c r="H51" s="214"/>
      <c r="I51" s="215"/>
      <c r="J51" s="216"/>
      <c r="K51" s="217"/>
      <c r="L51" s="218"/>
      <c r="M51" s="219"/>
      <c r="N51" s="220"/>
      <c r="O51" s="221"/>
      <c r="P51" s="222"/>
      <c r="Q51" s="223"/>
      <c r="R51" s="224"/>
      <c r="S51" s="225"/>
      <c r="T51" s="226"/>
      <c r="U51" s="129">
        <f t="shared" si="11"/>
        <v>0</v>
      </c>
      <c r="V51" s="129">
        <f t="shared" si="15"/>
        <v>0</v>
      </c>
      <c r="W51" s="129">
        <f>U51*2.1</f>
        <v>0</v>
      </c>
      <c r="X51" s="166">
        <f t="shared" si="13"/>
        <v>0</v>
      </c>
    </row>
    <row r="52" spans="2:24" ht="99.75" customHeight="1" x14ac:dyDescent="0.35">
      <c r="B52" s="164" t="s">
        <v>122</v>
      </c>
      <c r="C52" s="113"/>
      <c r="D52" s="113">
        <v>5</v>
      </c>
      <c r="E52" s="113" t="s">
        <v>511</v>
      </c>
      <c r="F52" s="884">
        <v>172.01</v>
      </c>
      <c r="G52" s="213"/>
      <c r="H52" s="214"/>
      <c r="I52" s="215"/>
      <c r="J52" s="216"/>
      <c r="K52" s="217"/>
      <c r="L52" s="218"/>
      <c r="M52" s="219"/>
      <c r="N52" s="220"/>
      <c r="O52" s="221"/>
      <c r="P52" s="222"/>
      <c r="Q52" s="223"/>
      <c r="R52" s="224"/>
      <c r="S52" s="225"/>
      <c r="T52" s="226"/>
      <c r="U52" s="129">
        <f t="shared" si="11"/>
        <v>0</v>
      </c>
      <c r="V52" s="129">
        <f t="shared" si="15"/>
        <v>0</v>
      </c>
      <c r="W52" s="129">
        <f>U52*2.02</f>
        <v>0</v>
      </c>
      <c r="X52" s="166">
        <f t="shared" si="13"/>
        <v>0</v>
      </c>
    </row>
    <row r="53" spans="2:24" ht="99.75" customHeight="1" x14ac:dyDescent="0.35">
      <c r="B53" s="265" t="s">
        <v>512</v>
      </c>
      <c r="C53" s="113"/>
      <c r="D53" s="113">
        <v>5</v>
      </c>
      <c r="E53" s="113" t="s">
        <v>513</v>
      </c>
      <c r="F53" s="884">
        <v>203.94</v>
      </c>
      <c r="G53" s="213"/>
      <c r="H53" s="214"/>
      <c r="I53" s="215"/>
      <c r="J53" s="216"/>
      <c r="K53" s="217"/>
      <c r="L53" s="218"/>
      <c r="M53" s="219"/>
      <c r="N53" s="220"/>
      <c r="O53" s="221"/>
      <c r="P53" s="222"/>
      <c r="Q53" s="223"/>
      <c r="R53" s="224"/>
      <c r="S53" s="225"/>
      <c r="T53" s="226"/>
      <c r="U53" s="129">
        <f t="shared" si="11"/>
        <v>0</v>
      </c>
      <c r="V53" s="129">
        <f t="shared" si="15"/>
        <v>0</v>
      </c>
      <c r="W53" s="129">
        <f>U53*2.6</f>
        <v>0</v>
      </c>
      <c r="X53" s="166">
        <f t="shared" si="13"/>
        <v>0</v>
      </c>
    </row>
    <row r="54" spans="2:24" ht="99.75" customHeight="1" x14ac:dyDescent="0.35">
      <c r="B54" s="265" t="s">
        <v>514</v>
      </c>
      <c r="C54" s="113"/>
      <c r="D54" s="113">
        <v>5</v>
      </c>
      <c r="E54" s="113" t="s">
        <v>515</v>
      </c>
      <c r="F54" s="884">
        <v>251.32</v>
      </c>
      <c r="G54" s="213"/>
      <c r="H54" s="214"/>
      <c r="I54" s="215"/>
      <c r="J54" s="216"/>
      <c r="K54" s="217"/>
      <c r="L54" s="218"/>
      <c r="M54" s="219"/>
      <c r="N54" s="220"/>
      <c r="O54" s="221"/>
      <c r="P54" s="222"/>
      <c r="Q54" s="223"/>
      <c r="R54" s="224"/>
      <c r="S54" s="225"/>
      <c r="T54" s="226"/>
      <c r="U54" s="129">
        <f t="shared" si="11"/>
        <v>0</v>
      </c>
      <c r="V54" s="129">
        <f t="shared" si="15"/>
        <v>0</v>
      </c>
      <c r="W54" s="129">
        <f>U54*3.5</f>
        <v>0</v>
      </c>
      <c r="X54" s="166">
        <f t="shared" si="13"/>
        <v>0</v>
      </c>
    </row>
    <row r="55" spans="2:24" ht="99.75" customHeight="1" x14ac:dyDescent="0.35">
      <c r="B55" s="265" t="s">
        <v>516</v>
      </c>
      <c r="C55" s="113"/>
      <c r="D55" s="113">
        <v>5</v>
      </c>
      <c r="E55" s="113" t="s">
        <v>517</v>
      </c>
      <c r="F55" s="884">
        <v>222.48000000000002</v>
      </c>
      <c r="G55" s="213"/>
      <c r="H55" s="214"/>
      <c r="I55" s="215"/>
      <c r="J55" s="216"/>
      <c r="K55" s="217"/>
      <c r="L55" s="218"/>
      <c r="M55" s="219"/>
      <c r="N55" s="220"/>
      <c r="O55" s="221"/>
      <c r="P55" s="222"/>
      <c r="Q55" s="223"/>
      <c r="R55" s="224"/>
      <c r="S55" s="225"/>
      <c r="T55" s="226"/>
      <c r="U55" s="129">
        <f t="shared" si="11"/>
        <v>0</v>
      </c>
      <c r="V55" s="129">
        <f t="shared" si="15"/>
        <v>0</v>
      </c>
      <c r="W55" s="129">
        <f>U55*3</f>
        <v>0</v>
      </c>
      <c r="X55" s="166">
        <f t="shared" si="13"/>
        <v>0</v>
      </c>
    </row>
    <row r="56" spans="2:24" ht="99.75" customHeight="1" x14ac:dyDescent="0.35">
      <c r="B56" s="265" t="s">
        <v>518</v>
      </c>
      <c r="C56" s="113"/>
      <c r="D56" s="113">
        <v>3</v>
      </c>
      <c r="E56" s="113" t="s">
        <v>519</v>
      </c>
      <c r="F56" s="884">
        <v>172.01</v>
      </c>
      <c r="G56" s="213"/>
      <c r="H56" s="214"/>
      <c r="I56" s="215"/>
      <c r="J56" s="216"/>
      <c r="K56" s="217"/>
      <c r="L56" s="218"/>
      <c r="M56" s="219"/>
      <c r="N56" s="220"/>
      <c r="O56" s="221"/>
      <c r="P56" s="222"/>
      <c r="Q56" s="223"/>
      <c r="R56" s="224"/>
      <c r="S56" s="225"/>
      <c r="T56" s="226"/>
      <c r="U56" s="129">
        <f t="shared" si="11"/>
        <v>0</v>
      </c>
      <c r="V56" s="129">
        <f t="shared" si="15"/>
        <v>0</v>
      </c>
      <c r="W56" s="129">
        <f>U56*2.44</f>
        <v>0</v>
      </c>
      <c r="X56" s="166">
        <f t="shared" si="13"/>
        <v>0</v>
      </c>
    </row>
    <row r="57" spans="2:24" ht="99.75" customHeight="1" x14ac:dyDescent="0.35">
      <c r="B57" s="265" t="s">
        <v>520</v>
      </c>
      <c r="C57" s="113"/>
      <c r="D57" s="113">
        <v>3</v>
      </c>
      <c r="E57" s="113" t="s">
        <v>521</v>
      </c>
      <c r="F57" s="884">
        <v>252.35</v>
      </c>
      <c r="G57" s="213"/>
      <c r="H57" s="214"/>
      <c r="I57" s="215"/>
      <c r="J57" s="216"/>
      <c r="K57" s="217"/>
      <c r="L57" s="218"/>
      <c r="M57" s="219"/>
      <c r="N57" s="220"/>
      <c r="O57" s="221"/>
      <c r="P57" s="222"/>
      <c r="Q57" s="223"/>
      <c r="R57" s="224"/>
      <c r="S57" s="225"/>
      <c r="T57" s="226"/>
      <c r="U57" s="129">
        <f t="shared" si="11"/>
        <v>0</v>
      </c>
      <c r="V57" s="129">
        <f t="shared" si="15"/>
        <v>0</v>
      </c>
      <c r="W57" s="129">
        <f>U57*3.9</f>
        <v>0</v>
      </c>
      <c r="X57" s="166">
        <f t="shared" si="13"/>
        <v>0</v>
      </c>
    </row>
    <row r="58" spans="2:24" ht="99.75" customHeight="1" x14ac:dyDescent="0.35">
      <c r="B58" s="265" t="s">
        <v>522</v>
      </c>
      <c r="C58" s="113"/>
      <c r="D58" s="113">
        <v>2</v>
      </c>
      <c r="E58" s="113" t="s">
        <v>523</v>
      </c>
      <c r="F58" s="884">
        <v>227.63</v>
      </c>
      <c r="G58" s="213"/>
      <c r="H58" s="214"/>
      <c r="I58" s="215"/>
      <c r="J58" s="216"/>
      <c r="K58" s="217"/>
      <c r="L58" s="218"/>
      <c r="M58" s="219"/>
      <c r="N58" s="220"/>
      <c r="O58" s="221"/>
      <c r="P58" s="222"/>
      <c r="Q58" s="223"/>
      <c r="R58" s="224"/>
      <c r="S58" s="225"/>
      <c r="T58" s="226"/>
      <c r="U58" s="129">
        <f t="shared" si="11"/>
        <v>0</v>
      </c>
      <c r="V58" s="129">
        <f t="shared" si="15"/>
        <v>0</v>
      </c>
      <c r="W58" s="129">
        <f>U58*3.72</f>
        <v>0</v>
      </c>
      <c r="X58" s="166">
        <f t="shared" si="13"/>
        <v>0</v>
      </c>
    </row>
    <row r="59" spans="2:24" ht="99.75" customHeight="1" x14ac:dyDescent="0.35">
      <c r="B59" s="164" t="s">
        <v>524</v>
      </c>
      <c r="C59" s="113"/>
      <c r="D59" s="113">
        <v>2</v>
      </c>
      <c r="E59" s="113" t="s">
        <v>525</v>
      </c>
      <c r="F59" s="884">
        <v>174.07</v>
      </c>
      <c r="G59" s="213"/>
      <c r="H59" s="214"/>
      <c r="I59" s="215"/>
      <c r="J59" s="216"/>
      <c r="K59" s="217"/>
      <c r="L59" s="218"/>
      <c r="M59" s="219"/>
      <c r="N59" s="220"/>
      <c r="O59" s="221"/>
      <c r="P59" s="222"/>
      <c r="Q59" s="223"/>
      <c r="R59" s="224"/>
      <c r="S59" s="225"/>
      <c r="T59" s="226"/>
      <c r="U59" s="129">
        <f t="shared" si="11"/>
        <v>0</v>
      </c>
      <c r="V59" s="129">
        <f t="shared" si="15"/>
        <v>0</v>
      </c>
      <c r="W59" s="129">
        <f>U59*2.73</f>
        <v>0</v>
      </c>
      <c r="X59" s="166">
        <f t="shared" si="13"/>
        <v>0</v>
      </c>
    </row>
    <row r="60" spans="2:24" ht="99.75" customHeight="1" x14ac:dyDescent="0.35">
      <c r="B60" s="164" t="s">
        <v>526</v>
      </c>
      <c r="C60" s="113"/>
      <c r="D60" s="113">
        <v>2</v>
      </c>
      <c r="E60" s="113" t="s">
        <v>527</v>
      </c>
      <c r="F60" s="884">
        <v>151.41</v>
      </c>
      <c r="G60" s="213"/>
      <c r="H60" s="214"/>
      <c r="I60" s="215"/>
      <c r="J60" s="216"/>
      <c r="K60" s="217"/>
      <c r="L60" s="218"/>
      <c r="M60" s="219"/>
      <c r="N60" s="220"/>
      <c r="O60" s="221"/>
      <c r="P60" s="222"/>
      <c r="Q60" s="223"/>
      <c r="R60" s="224"/>
      <c r="S60" s="225"/>
      <c r="T60" s="226"/>
      <c r="U60" s="129">
        <f t="shared" si="11"/>
        <v>0</v>
      </c>
      <c r="V60" s="129">
        <f t="shared" si="15"/>
        <v>0</v>
      </c>
      <c r="W60" s="129">
        <f>U60*2.8</f>
        <v>0</v>
      </c>
      <c r="X60" s="166">
        <f t="shared" si="13"/>
        <v>0</v>
      </c>
    </row>
    <row r="61" spans="2:24" ht="99.75" customHeight="1" x14ac:dyDescent="0.35">
      <c r="B61" s="164" t="s">
        <v>528</v>
      </c>
      <c r="C61" s="167"/>
      <c r="D61" s="113">
        <v>2</v>
      </c>
      <c r="E61" s="113" t="s">
        <v>529</v>
      </c>
      <c r="F61" s="884">
        <v>141.11000000000001</v>
      </c>
      <c r="G61" s="213"/>
      <c r="H61" s="214"/>
      <c r="I61" s="215"/>
      <c r="J61" s="216"/>
      <c r="K61" s="217"/>
      <c r="L61" s="218"/>
      <c r="M61" s="219"/>
      <c r="N61" s="220"/>
      <c r="O61" s="221"/>
      <c r="P61" s="222"/>
      <c r="Q61" s="223"/>
      <c r="R61" s="224"/>
      <c r="S61" s="225"/>
      <c r="T61" s="226"/>
      <c r="U61" s="129">
        <f t="shared" si="11"/>
        <v>0</v>
      </c>
      <c r="V61" s="129">
        <f t="shared" si="15"/>
        <v>0</v>
      </c>
      <c r="W61" s="129">
        <f>U61*3.12</f>
        <v>0</v>
      </c>
      <c r="X61" s="166">
        <f t="shared" si="13"/>
        <v>0</v>
      </c>
    </row>
    <row r="62" spans="2:24" ht="99.75" customHeight="1" x14ac:dyDescent="0.35">
      <c r="B62" s="164" t="s">
        <v>530</v>
      </c>
      <c r="C62" s="167"/>
      <c r="D62" s="113">
        <v>2</v>
      </c>
      <c r="E62" s="113" t="s">
        <v>531</v>
      </c>
      <c r="F62" s="884">
        <v>160.68</v>
      </c>
      <c r="G62" s="213"/>
      <c r="H62" s="214"/>
      <c r="I62" s="215"/>
      <c r="J62" s="216"/>
      <c r="K62" s="217"/>
      <c r="L62" s="218"/>
      <c r="M62" s="219"/>
      <c r="N62" s="220"/>
      <c r="O62" s="221"/>
      <c r="P62" s="222"/>
      <c r="Q62" s="223"/>
      <c r="R62" s="224"/>
      <c r="S62" s="225"/>
      <c r="T62" s="226"/>
      <c r="U62" s="129">
        <f t="shared" si="11"/>
        <v>0</v>
      </c>
      <c r="V62" s="129">
        <f t="shared" si="15"/>
        <v>0</v>
      </c>
      <c r="W62" s="129">
        <f>U62*2.11</f>
        <v>0</v>
      </c>
      <c r="X62" s="166">
        <f t="shared" si="13"/>
        <v>0</v>
      </c>
    </row>
    <row r="63" spans="2:24" ht="99.75" customHeight="1" thickBot="1" x14ac:dyDescent="0.4">
      <c r="B63" s="417" t="s">
        <v>532</v>
      </c>
      <c r="C63" s="167"/>
      <c r="D63" s="17">
        <v>2</v>
      </c>
      <c r="E63" s="17" t="s">
        <v>533</v>
      </c>
      <c r="F63" s="884">
        <v>254.41</v>
      </c>
      <c r="G63" s="461"/>
      <c r="H63" s="462"/>
      <c r="I63" s="463"/>
      <c r="J63" s="464"/>
      <c r="K63" s="465"/>
      <c r="L63" s="466"/>
      <c r="M63" s="467"/>
      <c r="N63" s="468"/>
      <c r="O63" s="469"/>
      <c r="P63" s="470"/>
      <c r="Q63" s="471"/>
      <c r="R63" s="472"/>
      <c r="S63" s="473"/>
      <c r="T63" s="474"/>
      <c r="U63" s="475">
        <f t="shared" si="11"/>
        <v>0</v>
      </c>
      <c r="V63" s="475">
        <f t="shared" si="15"/>
        <v>0</v>
      </c>
      <c r="W63" s="475">
        <f>U63*4.3</f>
        <v>0</v>
      </c>
      <c r="X63" s="476">
        <f t="shared" si="13"/>
        <v>0</v>
      </c>
    </row>
    <row r="64" spans="2:24" ht="15.75" customHeight="1" thickBot="1" x14ac:dyDescent="0.4">
      <c r="F64" s="864"/>
      <c r="G64" s="504">
        <f>SUM(G25:G63)</f>
        <v>0</v>
      </c>
      <c r="H64" s="504">
        <f t="shared" ref="H64:W64" si="16">SUM(H25:H63)</f>
        <v>0</v>
      </c>
      <c r="I64" s="504">
        <f t="shared" si="16"/>
        <v>0</v>
      </c>
      <c r="J64" s="504">
        <f t="shared" si="16"/>
        <v>0</v>
      </c>
      <c r="K64" s="504">
        <f t="shared" si="16"/>
        <v>0</v>
      </c>
      <c r="L64" s="504">
        <f t="shared" si="16"/>
        <v>0</v>
      </c>
      <c r="M64" s="504">
        <f t="shared" si="16"/>
        <v>0</v>
      </c>
      <c r="N64" s="504">
        <f t="shared" si="16"/>
        <v>0</v>
      </c>
      <c r="O64" s="504">
        <f t="shared" si="16"/>
        <v>0</v>
      </c>
      <c r="P64" s="504">
        <f t="shared" si="16"/>
        <v>0</v>
      </c>
      <c r="Q64" s="504">
        <f t="shared" si="16"/>
        <v>0</v>
      </c>
      <c r="R64" s="504">
        <f t="shared" si="16"/>
        <v>0</v>
      </c>
      <c r="S64" s="504">
        <f t="shared" si="16"/>
        <v>0</v>
      </c>
      <c r="T64" s="504">
        <f t="shared" si="16"/>
        <v>0</v>
      </c>
      <c r="U64" s="504">
        <f t="shared" si="16"/>
        <v>0</v>
      </c>
      <c r="V64" s="504">
        <f t="shared" si="16"/>
        <v>0</v>
      </c>
      <c r="W64" s="504">
        <f t="shared" si="16"/>
        <v>0</v>
      </c>
      <c r="X64" s="505">
        <f>SUM(X25:X63)</f>
        <v>0</v>
      </c>
    </row>
    <row r="65" spans="6:6" ht="15.75" customHeight="1" x14ac:dyDescent="0.35">
      <c r="F65" s="864"/>
    </row>
    <row r="66" spans="6:6" ht="15.75" customHeight="1" x14ac:dyDescent="0.35">
      <c r="F66" s="864"/>
    </row>
    <row r="67" spans="6:6" ht="15.75" customHeight="1" x14ac:dyDescent="0.35">
      <c r="F67" s="864"/>
    </row>
    <row r="68" spans="6:6" ht="15.75" customHeight="1" x14ac:dyDescent="0.35">
      <c r="F68" s="864"/>
    </row>
    <row r="69" spans="6:6" ht="15.75" customHeight="1" x14ac:dyDescent="0.35">
      <c r="F69" s="864"/>
    </row>
    <row r="70" spans="6:6" ht="15.75" customHeight="1" x14ac:dyDescent="0.35">
      <c r="F70" s="864"/>
    </row>
    <row r="71" spans="6:6" ht="15.75" customHeight="1" x14ac:dyDescent="0.35">
      <c r="F71" s="864"/>
    </row>
    <row r="72" spans="6:6" ht="15.75" customHeight="1" x14ac:dyDescent="0.35">
      <c r="F72" s="864"/>
    </row>
    <row r="73" spans="6:6" ht="15.75" customHeight="1" x14ac:dyDescent="0.35">
      <c r="F73" s="864"/>
    </row>
    <row r="74" spans="6:6" ht="15.75" customHeight="1" x14ac:dyDescent="0.35">
      <c r="F74" s="864"/>
    </row>
    <row r="75" spans="6:6" ht="15.75" customHeight="1" x14ac:dyDescent="0.35">
      <c r="F75" s="864"/>
    </row>
    <row r="76" spans="6:6" ht="15.75" customHeight="1" x14ac:dyDescent="0.35">
      <c r="F76" s="864"/>
    </row>
    <row r="77" spans="6:6" ht="15.75" customHeight="1" x14ac:dyDescent="0.35">
      <c r="F77" s="864"/>
    </row>
    <row r="78" spans="6:6" ht="15.75" customHeight="1" x14ac:dyDescent="0.35">
      <c r="F78" s="864"/>
    </row>
    <row r="79" spans="6:6" ht="15.75" customHeight="1" x14ac:dyDescent="0.35">
      <c r="F79" s="864"/>
    </row>
    <row r="80" spans="6:6" ht="15.75" customHeight="1" x14ac:dyDescent="0.35">
      <c r="F80" s="864"/>
    </row>
    <row r="81" spans="6:6" ht="15.75" customHeight="1" x14ac:dyDescent="0.35">
      <c r="F81" s="864"/>
    </row>
    <row r="82" spans="6:6" ht="15.75" customHeight="1" x14ac:dyDescent="0.35">
      <c r="F82" s="864"/>
    </row>
    <row r="83" spans="6:6" ht="15.75" customHeight="1" x14ac:dyDescent="0.35">
      <c r="F83" s="864"/>
    </row>
    <row r="84" spans="6:6" ht="15.75" customHeight="1" x14ac:dyDescent="0.35">
      <c r="F84" s="864"/>
    </row>
    <row r="85" spans="6:6" ht="15.75" customHeight="1" x14ac:dyDescent="0.35">
      <c r="F85" s="864"/>
    </row>
    <row r="86" spans="6:6" ht="15.75" customHeight="1" x14ac:dyDescent="0.35">
      <c r="F86" s="864"/>
    </row>
    <row r="87" spans="6:6" ht="15.75" customHeight="1" x14ac:dyDescent="0.35">
      <c r="F87" s="864"/>
    </row>
    <row r="88" spans="6:6" ht="15.75" customHeight="1" x14ac:dyDescent="0.35">
      <c r="F88" s="864"/>
    </row>
    <row r="89" spans="6:6" ht="15.75" customHeight="1" x14ac:dyDescent="0.35">
      <c r="F89" s="864"/>
    </row>
    <row r="90" spans="6:6" ht="15.75" customHeight="1" x14ac:dyDescent="0.35">
      <c r="F90" s="864"/>
    </row>
    <row r="91" spans="6:6" ht="15.75" customHeight="1" x14ac:dyDescent="0.35">
      <c r="F91" s="864"/>
    </row>
    <row r="92" spans="6:6" ht="15.75" customHeight="1" x14ac:dyDescent="0.35">
      <c r="F92" s="864"/>
    </row>
    <row r="93" spans="6:6" ht="15.75" customHeight="1" x14ac:dyDescent="0.35">
      <c r="F93" s="864"/>
    </row>
    <row r="94" spans="6:6" ht="15.75" customHeight="1" x14ac:dyDescent="0.35">
      <c r="F94" s="864"/>
    </row>
    <row r="95" spans="6:6" ht="15.75" customHeight="1" x14ac:dyDescent="0.35">
      <c r="F95" s="864"/>
    </row>
    <row r="96" spans="6:6" ht="15.75" customHeight="1" x14ac:dyDescent="0.35">
      <c r="F96" s="1"/>
    </row>
    <row r="97" spans="6:6" ht="15.75" customHeight="1" x14ac:dyDescent="0.35">
      <c r="F97" s="1"/>
    </row>
    <row r="98" spans="6:6" ht="15.75" customHeight="1" x14ac:dyDescent="0.35">
      <c r="F98" s="1"/>
    </row>
    <row r="99" spans="6:6" ht="15.75" customHeight="1" x14ac:dyDescent="0.35">
      <c r="F99" s="1"/>
    </row>
    <row r="100" spans="6:6" ht="15.75" customHeight="1" x14ac:dyDescent="0.35">
      <c r="F100" s="1"/>
    </row>
    <row r="101" spans="6:6" ht="15.75" customHeight="1" x14ac:dyDescent="0.35">
      <c r="F101" s="1"/>
    </row>
    <row r="102" spans="6:6" ht="15.75" customHeight="1" x14ac:dyDescent="0.35">
      <c r="F102" s="1"/>
    </row>
    <row r="103" spans="6:6" ht="15.75" customHeight="1" x14ac:dyDescent="0.35">
      <c r="F103" s="1"/>
    </row>
    <row r="104" spans="6:6" ht="15.75" customHeight="1" x14ac:dyDescent="0.35">
      <c r="F104" s="1"/>
    </row>
    <row r="105" spans="6:6" ht="15.75" customHeight="1" x14ac:dyDescent="0.35">
      <c r="F105" s="1"/>
    </row>
    <row r="106" spans="6:6" ht="15.75" customHeight="1" x14ac:dyDescent="0.35">
      <c r="F106" s="1"/>
    </row>
    <row r="107" spans="6:6" ht="15.75" customHeight="1" x14ac:dyDescent="0.35">
      <c r="F107" s="1"/>
    </row>
    <row r="108" spans="6:6" ht="15.75" customHeight="1" x14ac:dyDescent="0.35">
      <c r="F108" s="1"/>
    </row>
    <row r="109" spans="6:6" ht="15.75" customHeight="1" x14ac:dyDescent="0.35">
      <c r="F109" s="1"/>
    </row>
    <row r="110" spans="6:6" ht="15.75" customHeight="1" x14ac:dyDescent="0.35">
      <c r="F110" s="1"/>
    </row>
    <row r="111" spans="6:6" ht="15.75" customHeight="1" x14ac:dyDescent="0.35">
      <c r="F111" s="1"/>
    </row>
    <row r="112" spans="6:6" ht="15.75" customHeight="1" x14ac:dyDescent="0.35">
      <c r="F112" s="1"/>
    </row>
    <row r="113" spans="6:6" ht="15.75" customHeight="1" x14ac:dyDescent="0.35">
      <c r="F113" s="1"/>
    </row>
    <row r="114" spans="6:6" ht="15.75" customHeight="1" x14ac:dyDescent="0.35">
      <c r="F114" s="1"/>
    </row>
    <row r="115" spans="6:6" ht="15.75" customHeight="1" x14ac:dyDescent="0.35">
      <c r="F115" s="1"/>
    </row>
    <row r="116" spans="6:6" ht="15.75" customHeight="1" x14ac:dyDescent="0.35">
      <c r="F116" s="1"/>
    </row>
    <row r="117" spans="6:6" ht="15.75" customHeight="1" x14ac:dyDescent="0.35">
      <c r="F117" s="1"/>
    </row>
    <row r="118" spans="6:6" ht="15.75" customHeight="1" x14ac:dyDescent="0.35">
      <c r="F118" s="1"/>
    </row>
    <row r="119" spans="6:6" ht="15.75" customHeight="1" x14ac:dyDescent="0.35">
      <c r="F119" s="1"/>
    </row>
    <row r="120" spans="6:6" ht="15.75" customHeight="1" x14ac:dyDescent="0.35">
      <c r="F120" s="1"/>
    </row>
    <row r="121" spans="6:6" ht="15.75" customHeight="1" x14ac:dyDescent="0.35">
      <c r="F121" s="1"/>
    </row>
    <row r="122" spans="6:6" ht="15.75" customHeight="1" x14ac:dyDescent="0.35">
      <c r="F122" s="1"/>
    </row>
    <row r="123" spans="6:6" ht="15.75" customHeight="1" x14ac:dyDescent="0.35">
      <c r="F123" s="1"/>
    </row>
    <row r="124" spans="6:6" ht="15.75" customHeight="1" x14ac:dyDescent="0.35">
      <c r="F124" s="1"/>
    </row>
    <row r="125" spans="6:6" ht="15.75" customHeight="1" x14ac:dyDescent="0.35">
      <c r="F125" s="1"/>
    </row>
    <row r="126" spans="6:6" ht="15.75" customHeight="1" x14ac:dyDescent="0.35">
      <c r="F126" s="1"/>
    </row>
    <row r="127" spans="6:6" ht="15.75" customHeight="1" x14ac:dyDescent="0.35">
      <c r="F127" s="1"/>
    </row>
    <row r="128" spans="6:6" ht="15.75" customHeight="1" x14ac:dyDescent="0.35">
      <c r="F128" s="1"/>
    </row>
    <row r="129" spans="6:6" ht="15.75" customHeight="1" x14ac:dyDescent="0.35">
      <c r="F129" s="1"/>
    </row>
    <row r="130" spans="6:6" ht="15.75" customHeight="1" x14ac:dyDescent="0.35">
      <c r="F130" s="1"/>
    </row>
    <row r="131" spans="6:6" ht="15.75" customHeight="1" x14ac:dyDescent="0.35">
      <c r="F131" s="1"/>
    </row>
    <row r="132" spans="6:6" ht="15.75" customHeight="1" x14ac:dyDescent="0.35">
      <c r="F132" s="1"/>
    </row>
    <row r="133" spans="6:6" ht="15.75" customHeight="1" x14ac:dyDescent="0.35">
      <c r="F133" s="1"/>
    </row>
    <row r="134" spans="6:6" ht="15.75" customHeight="1" x14ac:dyDescent="0.35">
      <c r="F134" s="1"/>
    </row>
    <row r="135" spans="6:6" ht="15.75" customHeight="1" x14ac:dyDescent="0.35">
      <c r="F135" s="1"/>
    </row>
    <row r="136" spans="6:6" ht="15.75" customHeight="1" x14ac:dyDescent="0.35">
      <c r="F136" s="1"/>
    </row>
    <row r="137" spans="6:6" ht="15.75" customHeight="1" x14ac:dyDescent="0.35">
      <c r="F137" s="1"/>
    </row>
    <row r="138" spans="6:6" ht="15.75" customHeight="1" x14ac:dyDescent="0.35">
      <c r="F138" s="1"/>
    </row>
    <row r="139" spans="6:6" ht="15.75" customHeight="1" x14ac:dyDescent="0.35">
      <c r="F139" s="1"/>
    </row>
    <row r="140" spans="6:6" ht="15.75" customHeight="1" x14ac:dyDescent="0.35">
      <c r="F140" s="1"/>
    </row>
    <row r="141" spans="6:6" ht="15.75" customHeight="1" x14ac:dyDescent="0.35">
      <c r="F141" s="1"/>
    </row>
    <row r="142" spans="6:6" ht="15.75" customHeight="1" x14ac:dyDescent="0.35">
      <c r="F142" s="1"/>
    </row>
    <row r="143" spans="6:6" ht="15.75" customHeight="1" x14ac:dyDescent="0.35">
      <c r="F143" s="1"/>
    </row>
    <row r="144" spans="6:6" ht="15.75" customHeight="1" x14ac:dyDescent="0.35">
      <c r="F144" s="1"/>
    </row>
    <row r="145" spans="6:6" ht="15.75" customHeight="1" x14ac:dyDescent="0.35">
      <c r="F145" s="1"/>
    </row>
    <row r="146" spans="6:6" ht="15.75" customHeight="1" x14ac:dyDescent="0.35">
      <c r="F146" s="1"/>
    </row>
    <row r="147" spans="6:6" ht="15.75" customHeight="1" x14ac:dyDescent="0.35">
      <c r="F147" s="1"/>
    </row>
    <row r="148" spans="6:6" ht="15.75" customHeight="1" x14ac:dyDescent="0.35">
      <c r="F148" s="1"/>
    </row>
    <row r="149" spans="6:6" ht="15.75" customHeight="1" x14ac:dyDescent="0.35">
      <c r="F149" s="1"/>
    </row>
    <row r="150" spans="6:6" ht="15.75" customHeight="1" x14ac:dyDescent="0.35">
      <c r="F150" s="1"/>
    </row>
    <row r="151" spans="6:6" ht="15.75" customHeight="1" x14ac:dyDescent="0.35">
      <c r="F151" s="1"/>
    </row>
    <row r="152" spans="6:6" ht="15.75" customHeight="1" x14ac:dyDescent="0.35">
      <c r="F152" s="1"/>
    </row>
    <row r="153" spans="6:6" ht="15.75" customHeight="1" x14ac:dyDescent="0.35">
      <c r="F153" s="1"/>
    </row>
    <row r="154" spans="6:6" ht="15.75" customHeight="1" x14ac:dyDescent="0.35">
      <c r="F154" s="1"/>
    </row>
    <row r="155" spans="6:6" ht="15.75" customHeight="1" x14ac:dyDescent="0.35">
      <c r="F155" s="1"/>
    </row>
    <row r="156" spans="6:6" ht="15.75" customHeight="1" x14ac:dyDescent="0.35">
      <c r="F156" s="1"/>
    </row>
    <row r="157" spans="6:6" ht="15.75" customHeight="1" x14ac:dyDescent="0.35">
      <c r="F157" s="1"/>
    </row>
    <row r="158" spans="6:6" ht="15.75" customHeight="1" x14ac:dyDescent="0.35">
      <c r="F158" s="1"/>
    </row>
    <row r="159" spans="6:6" ht="15.75" customHeight="1" x14ac:dyDescent="0.35">
      <c r="F159" s="1"/>
    </row>
    <row r="160" spans="6:6" ht="15.75" customHeight="1" x14ac:dyDescent="0.35">
      <c r="F160" s="1"/>
    </row>
    <row r="161" spans="6:6" ht="15.75" customHeight="1" x14ac:dyDescent="0.35">
      <c r="F161" s="1"/>
    </row>
    <row r="162" spans="6:6" ht="15.75" customHeight="1" x14ac:dyDescent="0.35">
      <c r="F162" s="1"/>
    </row>
    <row r="163" spans="6:6" ht="15.75" customHeight="1" x14ac:dyDescent="0.35">
      <c r="F163" s="1"/>
    </row>
    <row r="164" spans="6:6" ht="15.75" customHeight="1" x14ac:dyDescent="0.35">
      <c r="F164" s="1"/>
    </row>
    <row r="165" spans="6:6" ht="15.75" customHeight="1" x14ac:dyDescent="0.35">
      <c r="F165" s="1"/>
    </row>
    <row r="166" spans="6:6" ht="15.75" customHeight="1" x14ac:dyDescent="0.35">
      <c r="F166" s="1"/>
    </row>
    <row r="167" spans="6:6" ht="15.75" customHeight="1" x14ac:dyDescent="0.35">
      <c r="F167" s="1"/>
    </row>
    <row r="168" spans="6:6" ht="15.75" customHeight="1" x14ac:dyDescent="0.35">
      <c r="F168" s="1"/>
    </row>
    <row r="169" spans="6:6" ht="15.75" customHeight="1" x14ac:dyDescent="0.35">
      <c r="F169" s="1"/>
    </row>
    <row r="170" spans="6:6" ht="15.75" customHeight="1" x14ac:dyDescent="0.35">
      <c r="F170" s="1"/>
    </row>
    <row r="171" spans="6:6" ht="15.75" customHeight="1" x14ac:dyDescent="0.35">
      <c r="F171" s="1"/>
    </row>
    <row r="172" spans="6:6" ht="15.75" customHeight="1" x14ac:dyDescent="0.35">
      <c r="F172" s="1"/>
    </row>
    <row r="173" spans="6:6" ht="15.75" customHeight="1" x14ac:dyDescent="0.35">
      <c r="F173" s="1"/>
    </row>
    <row r="174" spans="6:6" ht="15.75" customHeight="1" x14ac:dyDescent="0.35">
      <c r="F174" s="1"/>
    </row>
    <row r="175" spans="6:6" ht="15.75" customHeight="1" x14ac:dyDescent="0.35">
      <c r="F175" s="1"/>
    </row>
    <row r="176" spans="6:6" ht="15.75" customHeight="1" x14ac:dyDescent="0.35">
      <c r="F176" s="1"/>
    </row>
    <row r="177" spans="6:6" ht="15.75" customHeight="1" x14ac:dyDescent="0.35">
      <c r="F177" s="1"/>
    </row>
    <row r="178" spans="6:6" ht="15.75" customHeight="1" x14ac:dyDescent="0.35">
      <c r="F178" s="1"/>
    </row>
    <row r="179" spans="6:6" ht="15.75" customHeight="1" x14ac:dyDescent="0.35">
      <c r="F179" s="1"/>
    </row>
    <row r="180" spans="6:6" ht="15.75" customHeight="1" x14ac:dyDescent="0.35">
      <c r="F180" s="1"/>
    </row>
    <row r="181" spans="6:6" ht="15.75" customHeight="1" x14ac:dyDescent="0.35">
      <c r="F181" s="1"/>
    </row>
    <row r="182" spans="6:6" ht="15.75" customHeight="1" x14ac:dyDescent="0.35">
      <c r="F182" s="1"/>
    </row>
    <row r="183" spans="6:6" ht="15.75" customHeight="1" x14ac:dyDescent="0.35">
      <c r="F183" s="1"/>
    </row>
    <row r="184" spans="6:6" ht="15.75" customHeight="1" x14ac:dyDescent="0.35">
      <c r="F184" s="1"/>
    </row>
    <row r="185" spans="6:6" ht="15.75" customHeight="1" x14ac:dyDescent="0.35">
      <c r="F185" s="1"/>
    </row>
    <row r="186" spans="6:6" ht="15.75" customHeight="1" x14ac:dyDescent="0.35">
      <c r="F186" s="1"/>
    </row>
    <row r="187" spans="6:6" ht="15.75" customHeight="1" x14ac:dyDescent="0.35">
      <c r="F187" s="1"/>
    </row>
    <row r="188" spans="6:6" ht="15.75" customHeight="1" x14ac:dyDescent="0.35">
      <c r="F188" s="1"/>
    </row>
    <row r="189" spans="6:6" ht="15.75" customHeight="1" x14ac:dyDescent="0.35">
      <c r="F189" s="1"/>
    </row>
    <row r="190" spans="6:6" ht="15.75" customHeight="1" x14ac:dyDescent="0.35">
      <c r="F190" s="1"/>
    </row>
    <row r="191" spans="6:6" ht="15.75" customHeight="1" x14ac:dyDescent="0.35">
      <c r="F191" s="1"/>
    </row>
    <row r="192" spans="6:6" ht="15.75" customHeight="1" x14ac:dyDescent="0.35">
      <c r="F192" s="1"/>
    </row>
    <row r="193" spans="6:6" ht="15.75" customHeight="1" x14ac:dyDescent="0.35">
      <c r="F193" s="1"/>
    </row>
    <row r="194" spans="6:6" ht="15.75" customHeight="1" x14ac:dyDescent="0.35">
      <c r="F194" s="1"/>
    </row>
    <row r="195" spans="6:6" ht="15.75" customHeight="1" x14ac:dyDescent="0.35">
      <c r="F195" s="1"/>
    </row>
    <row r="196" spans="6:6" ht="15.75" customHeight="1" x14ac:dyDescent="0.35">
      <c r="F196" s="1"/>
    </row>
    <row r="197" spans="6:6" ht="15.75" customHeight="1" x14ac:dyDescent="0.35">
      <c r="F197" s="1"/>
    </row>
    <row r="198" spans="6:6" ht="15.75" customHeight="1" x14ac:dyDescent="0.35">
      <c r="F198" s="1"/>
    </row>
    <row r="199" spans="6:6" ht="15.75" customHeight="1" x14ac:dyDescent="0.35">
      <c r="F199" s="1"/>
    </row>
    <row r="200" spans="6:6" ht="15.75" customHeight="1" x14ac:dyDescent="0.35">
      <c r="F200" s="1"/>
    </row>
    <row r="201" spans="6:6" ht="15.75" customHeight="1" x14ac:dyDescent="0.35">
      <c r="F201" s="1"/>
    </row>
    <row r="202" spans="6:6" ht="15.75" customHeight="1" x14ac:dyDescent="0.35">
      <c r="F202" s="1"/>
    </row>
    <row r="203" spans="6:6" ht="15.75" customHeight="1" x14ac:dyDescent="0.35">
      <c r="F203" s="1"/>
    </row>
    <row r="204" spans="6:6" ht="15.75" customHeight="1" x14ac:dyDescent="0.35">
      <c r="F204" s="1"/>
    </row>
    <row r="205" spans="6:6" ht="15.75" customHeight="1" x14ac:dyDescent="0.35">
      <c r="F205" s="1"/>
    </row>
    <row r="206" spans="6:6" ht="15.75" customHeight="1" x14ac:dyDescent="0.35">
      <c r="F206" s="1"/>
    </row>
    <row r="207" spans="6:6" ht="15.75" customHeight="1" x14ac:dyDescent="0.35">
      <c r="F207" s="1"/>
    </row>
    <row r="208" spans="6:6" ht="15.75" customHeight="1" x14ac:dyDescent="0.35">
      <c r="F208" s="1"/>
    </row>
    <row r="209" spans="6:6" ht="15.75" customHeight="1" x14ac:dyDescent="0.35">
      <c r="F209" s="1"/>
    </row>
    <row r="210" spans="6:6" ht="15.75" customHeight="1" x14ac:dyDescent="0.35">
      <c r="F210" s="1"/>
    </row>
    <row r="211" spans="6:6" ht="15.75" customHeight="1" x14ac:dyDescent="0.35">
      <c r="F211" s="1"/>
    </row>
    <row r="212" spans="6:6" ht="15.75" customHeight="1" x14ac:dyDescent="0.35">
      <c r="F212" s="1"/>
    </row>
    <row r="213" spans="6:6" ht="15.75" customHeight="1" x14ac:dyDescent="0.35">
      <c r="F213" s="1"/>
    </row>
    <row r="214" spans="6:6" ht="15.75" customHeight="1" x14ac:dyDescent="0.35">
      <c r="F214" s="1"/>
    </row>
    <row r="215" spans="6:6" ht="15.75" customHeight="1" x14ac:dyDescent="0.35">
      <c r="F215" s="1"/>
    </row>
    <row r="216" spans="6:6" ht="15.75" customHeight="1" x14ac:dyDescent="0.35">
      <c r="F216" s="1"/>
    </row>
    <row r="217" spans="6:6" ht="15.75" customHeight="1" x14ac:dyDescent="0.35">
      <c r="F217" s="1"/>
    </row>
    <row r="218" spans="6:6" ht="15.75" customHeight="1" x14ac:dyDescent="0.35">
      <c r="F218" s="1"/>
    </row>
    <row r="219" spans="6:6" ht="15.75" customHeight="1" x14ac:dyDescent="0.35">
      <c r="F219" s="1"/>
    </row>
    <row r="220" spans="6:6" ht="15.75" customHeight="1" x14ac:dyDescent="0.35">
      <c r="F220" s="1"/>
    </row>
    <row r="221" spans="6:6" ht="15.75" customHeight="1" x14ac:dyDescent="0.35">
      <c r="F221" s="1"/>
    </row>
    <row r="222" spans="6:6" ht="15.75" customHeight="1" x14ac:dyDescent="0.35">
      <c r="F222" s="1"/>
    </row>
    <row r="223" spans="6:6" ht="15.75" customHeight="1" x14ac:dyDescent="0.35">
      <c r="F223" s="1"/>
    </row>
    <row r="224" spans="6:6" ht="15.75" customHeight="1" x14ac:dyDescent="0.35">
      <c r="F224" s="1"/>
    </row>
    <row r="225" spans="6:6" ht="15.75" customHeight="1" x14ac:dyDescent="0.35">
      <c r="F225" s="1"/>
    </row>
    <row r="226" spans="6:6" ht="15.75" customHeight="1" x14ac:dyDescent="0.35">
      <c r="F226" s="1"/>
    </row>
    <row r="227" spans="6:6" ht="15.75" customHeight="1" x14ac:dyDescent="0.35">
      <c r="F227" s="1"/>
    </row>
    <row r="228" spans="6:6" ht="15.75" customHeight="1" x14ac:dyDescent="0.35">
      <c r="F228" s="1"/>
    </row>
    <row r="229" spans="6:6" ht="15.75" customHeight="1" x14ac:dyDescent="0.35">
      <c r="F229" s="1"/>
    </row>
    <row r="230" spans="6:6" ht="15.75" customHeight="1" x14ac:dyDescent="0.35">
      <c r="F230" s="1"/>
    </row>
    <row r="231" spans="6:6" ht="15.75" customHeight="1" x14ac:dyDescent="0.35">
      <c r="F231" s="1"/>
    </row>
    <row r="232" spans="6:6" ht="15.75" customHeight="1" x14ac:dyDescent="0.35">
      <c r="F232" s="1"/>
    </row>
    <row r="233" spans="6:6" ht="15.75" customHeight="1" x14ac:dyDescent="0.35">
      <c r="F233" s="1"/>
    </row>
    <row r="234" spans="6:6" ht="15.75" customHeight="1" x14ac:dyDescent="0.35">
      <c r="F234" s="1"/>
    </row>
    <row r="235" spans="6:6" ht="15.75" customHeight="1" x14ac:dyDescent="0.35">
      <c r="F235" s="1"/>
    </row>
    <row r="236" spans="6:6" ht="15.75" customHeight="1" x14ac:dyDescent="0.35">
      <c r="F236" s="1"/>
    </row>
    <row r="237" spans="6:6" ht="15.75" customHeight="1" x14ac:dyDescent="0.35">
      <c r="F237" s="1"/>
    </row>
    <row r="238" spans="6:6" ht="15.75" customHeight="1" x14ac:dyDescent="0.35">
      <c r="F238" s="1"/>
    </row>
    <row r="239" spans="6:6" ht="15.75" customHeight="1" x14ac:dyDescent="0.35">
      <c r="F239" s="1"/>
    </row>
    <row r="240" spans="6:6" ht="15.75" customHeight="1" x14ac:dyDescent="0.35">
      <c r="F240" s="1"/>
    </row>
    <row r="241" spans="6:6" ht="15.75" customHeight="1" x14ac:dyDescent="0.35">
      <c r="F241" s="1"/>
    </row>
    <row r="242" spans="6:6" ht="15.75" customHeight="1" x14ac:dyDescent="0.35">
      <c r="F242" s="1"/>
    </row>
    <row r="243" spans="6:6" ht="15.75" customHeight="1" x14ac:dyDescent="0.35">
      <c r="F243" s="1"/>
    </row>
    <row r="244" spans="6:6" ht="15.75" customHeight="1" x14ac:dyDescent="0.35">
      <c r="F244" s="1"/>
    </row>
    <row r="245" spans="6:6" ht="15.75" customHeight="1" x14ac:dyDescent="0.35">
      <c r="F245" s="1"/>
    </row>
    <row r="246" spans="6:6" ht="15.75" customHeight="1" x14ac:dyDescent="0.35">
      <c r="F246" s="1"/>
    </row>
    <row r="247" spans="6:6" ht="15.75" customHeight="1" x14ac:dyDescent="0.35">
      <c r="F247" s="1"/>
    </row>
    <row r="248" spans="6:6" ht="15.75" customHeight="1" x14ac:dyDescent="0.35">
      <c r="F248" s="1"/>
    </row>
    <row r="249" spans="6:6" ht="15.75" customHeight="1" x14ac:dyDescent="0.35">
      <c r="F249" s="1"/>
    </row>
    <row r="250" spans="6:6" ht="15.75" customHeight="1" x14ac:dyDescent="0.35">
      <c r="F250" s="1"/>
    </row>
    <row r="251" spans="6:6" ht="15.75" customHeight="1" x14ac:dyDescent="0.35">
      <c r="F251" s="1"/>
    </row>
    <row r="252" spans="6:6" ht="15.75" customHeight="1" x14ac:dyDescent="0.35">
      <c r="F252" s="1"/>
    </row>
    <row r="253" spans="6:6" ht="15.75" customHeight="1" x14ac:dyDescent="0.35">
      <c r="F253" s="1"/>
    </row>
    <row r="254" spans="6:6" ht="15.75" customHeight="1" x14ac:dyDescent="0.35">
      <c r="F254" s="1"/>
    </row>
    <row r="255" spans="6:6" ht="15.75" customHeight="1" x14ac:dyDescent="0.35">
      <c r="F255" s="1"/>
    </row>
    <row r="256" spans="6:6" ht="15.75" customHeight="1" x14ac:dyDescent="0.35">
      <c r="F256" s="1"/>
    </row>
    <row r="257" spans="6:6" ht="15.75" customHeight="1" x14ac:dyDescent="0.35">
      <c r="F257" s="1"/>
    </row>
    <row r="258" spans="6:6" ht="15.75" customHeight="1" x14ac:dyDescent="0.35">
      <c r="F258" s="1"/>
    </row>
    <row r="259" spans="6:6" ht="15.75" customHeight="1" x14ac:dyDescent="0.35">
      <c r="F259" s="1"/>
    </row>
    <row r="260" spans="6:6" ht="15.75" customHeight="1" x14ac:dyDescent="0.35">
      <c r="F260" s="1"/>
    </row>
    <row r="261" spans="6:6" ht="15.75" customHeight="1" x14ac:dyDescent="0.35">
      <c r="F261" s="1"/>
    </row>
    <row r="262" spans="6:6" ht="15.75" customHeight="1" x14ac:dyDescent="0.35">
      <c r="F262" s="1"/>
    </row>
    <row r="263" spans="6:6" ht="15.75" customHeight="1" x14ac:dyDescent="0.35">
      <c r="F263" s="1"/>
    </row>
    <row r="264" spans="6:6" ht="15.75" customHeight="1" x14ac:dyDescent="0.35">
      <c r="F264" s="1"/>
    </row>
    <row r="265" spans="6:6" ht="15.75" customHeight="1" x14ac:dyDescent="0.35"/>
    <row r="266" spans="6:6" ht="15.75" customHeight="1" x14ac:dyDescent="0.35"/>
    <row r="267" spans="6:6" ht="15.75" customHeight="1" x14ac:dyDescent="0.35"/>
    <row r="268" spans="6:6" ht="15.75" customHeight="1" x14ac:dyDescent="0.35"/>
    <row r="269" spans="6:6" ht="15.75" customHeight="1" x14ac:dyDescent="0.35"/>
    <row r="270" spans="6:6" ht="15.75" customHeight="1" x14ac:dyDescent="0.35"/>
    <row r="271" spans="6:6" ht="15.75" customHeight="1" x14ac:dyDescent="0.35"/>
    <row r="272" spans="6:6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</sheetData>
  <mergeCells count="4">
    <mergeCell ref="B2:F3"/>
    <mergeCell ref="B7:C7"/>
    <mergeCell ref="B25:C25"/>
    <mergeCell ref="B5:C5"/>
  </mergeCells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FFFF"/>
  </sheetPr>
  <dimension ref="A1:X1015"/>
  <sheetViews>
    <sheetView tabSelected="1" topLeftCell="A37" zoomScale="85" zoomScaleNormal="85" workbookViewId="0">
      <selection activeCell="Z40" sqref="Z40"/>
    </sheetView>
  </sheetViews>
  <sheetFormatPr defaultColWidth="14.453125" defaultRowHeight="15" customHeight="1" x14ac:dyDescent="0.35"/>
  <cols>
    <col min="1" max="1" width="4.1796875" customWidth="1"/>
    <col min="2" max="2" width="19.1796875" customWidth="1"/>
    <col min="3" max="3" width="19.453125" customWidth="1"/>
    <col min="4" max="4" width="9.1796875" customWidth="1"/>
    <col min="5" max="5" width="12.1796875" customWidth="1"/>
    <col min="6" max="6" width="9.1796875" customWidth="1"/>
    <col min="7" max="7" width="14.453125" style="869" customWidth="1"/>
    <col min="8" max="18" width="9.1796875" customWidth="1"/>
    <col min="19" max="19" width="15.81640625" customWidth="1"/>
    <col min="20" max="20" width="6.26953125" customWidth="1"/>
    <col min="21" max="21" width="5.54296875" customWidth="1"/>
    <col min="22" max="22" width="5.81640625" customWidth="1"/>
    <col min="23" max="23" width="5.7265625" customWidth="1"/>
    <col min="24" max="24" width="5.26953125" customWidth="1"/>
    <col min="25" max="25" width="6.1796875" customWidth="1"/>
    <col min="26" max="26" width="5.54296875" customWidth="1"/>
  </cols>
  <sheetData>
    <row r="1" spans="1:24" ht="14.5" x14ac:dyDescent="0.35">
      <c r="G1" s="864"/>
    </row>
    <row r="2" spans="1:24" ht="35.25" customHeight="1" x14ac:dyDescent="0.75">
      <c r="B2" s="1061" t="s">
        <v>534</v>
      </c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</row>
    <row r="3" spans="1:24" ht="14.5" x14ac:dyDescent="0.35">
      <c r="B3" s="506"/>
      <c r="G3" s="864"/>
    </row>
    <row r="4" spans="1:24" ht="14.5" x14ac:dyDescent="0.35">
      <c r="B4" s="92" t="s">
        <v>15</v>
      </c>
      <c r="C4" s="93" t="s">
        <v>16</v>
      </c>
      <c r="D4" s="94" t="s">
        <v>17</v>
      </c>
      <c r="E4" s="94" t="s">
        <v>535</v>
      </c>
      <c r="F4" s="94" t="s">
        <v>18</v>
      </c>
      <c r="G4" s="865" t="s">
        <v>19</v>
      </c>
      <c r="H4" s="507">
        <v>1018</v>
      </c>
      <c r="I4" s="508">
        <v>3020</v>
      </c>
      <c r="J4" s="509">
        <v>5015</v>
      </c>
      <c r="K4" s="510">
        <v>9005</v>
      </c>
      <c r="L4" s="511">
        <v>4008</v>
      </c>
      <c r="M4" s="512">
        <v>6027</v>
      </c>
      <c r="N4" s="513">
        <v>4005</v>
      </c>
      <c r="O4" s="514">
        <v>6001</v>
      </c>
      <c r="P4" s="515">
        <v>9003</v>
      </c>
      <c r="Q4" s="35" t="s">
        <v>536</v>
      </c>
      <c r="R4" s="36" t="s">
        <v>22</v>
      </c>
      <c r="S4" s="37" t="s">
        <v>23</v>
      </c>
    </row>
    <row r="5" spans="1:24" ht="14.5" x14ac:dyDescent="0.35">
      <c r="B5" s="235"/>
      <c r="G5" s="864"/>
    </row>
    <row r="6" spans="1:24" ht="45.75" customHeight="1" x14ac:dyDescent="0.35">
      <c r="A6" s="516"/>
      <c r="B6" s="1062" t="s">
        <v>537</v>
      </c>
      <c r="C6" s="1063"/>
      <c r="D6" s="517">
        <v>8</v>
      </c>
      <c r="E6" s="1064" t="s">
        <v>980</v>
      </c>
      <c r="F6" s="1065"/>
      <c r="G6" s="866">
        <f>SUM(G7:G14)*0.9</f>
        <v>972</v>
      </c>
      <c r="H6" s="518"/>
      <c r="I6" s="519"/>
      <c r="J6" s="520"/>
      <c r="K6" s="521"/>
      <c r="L6" s="522"/>
      <c r="M6" s="523"/>
      <c r="N6" s="524"/>
      <c r="O6" s="525"/>
      <c r="P6" s="526"/>
      <c r="Q6" s="527">
        <f>SUM(H6:P6)*D6</f>
        <v>0</v>
      </c>
      <c r="R6" s="526"/>
      <c r="S6" s="528">
        <f>(SUM(H6:P6))*G6</f>
        <v>0</v>
      </c>
      <c r="T6" s="516"/>
      <c r="U6" s="516"/>
      <c r="V6" s="516"/>
      <c r="W6" s="516"/>
      <c r="X6" s="516"/>
    </row>
    <row r="7" spans="1:24" ht="51.75" customHeight="1" x14ac:dyDescent="0.35">
      <c r="A7" s="516"/>
      <c r="B7" s="529" t="s">
        <v>538</v>
      </c>
      <c r="C7" s="1066"/>
      <c r="D7" s="530">
        <v>1</v>
      </c>
      <c r="E7" s="356" t="s">
        <v>539</v>
      </c>
      <c r="F7" s="212" t="s">
        <v>540</v>
      </c>
      <c r="G7" s="867">
        <v>135</v>
      </c>
      <c r="H7" s="531"/>
      <c r="I7" s="532"/>
      <c r="J7" s="533"/>
      <c r="K7" s="534"/>
      <c r="L7" s="535"/>
      <c r="M7" s="536"/>
      <c r="N7" s="537"/>
      <c r="O7" s="538"/>
      <c r="P7" s="530"/>
      <c r="Q7" s="530">
        <f t="shared" ref="Q7:Q14" si="0">SUM(H7:P7)</f>
        <v>0</v>
      </c>
      <c r="R7" s="530"/>
      <c r="S7" s="539">
        <f t="shared" ref="S7:S14" si="1">Q7*G7</f>
        <v>0</v>
      </c>
    </row>
    <row r="8" spans="1:24" ht="51.75" customHeight="1" x14ac:dyDescent="0.35">
      <c r="A8" s="516"/>
      <c r="B8" s="529" t="s">
        <v>541</v>
      </c>
      <c r="C8" s="1067"/>
      <c r="D8" s="530">
        <v>1</v>
      </c>
      <c r="E8" s="356" t="s">
        <v>542</v>
      </c>
      <c r="F8" s="212" t="s">
        <v>543</v>
      </c>
      <c r="G8" s="867">
        <v>135</v>
      </c>
      <c r="H8" s="531"/>
      <c r="I8" s="532"/>
      <c r="J8" s="533"/>
      <c r="K8" s="534"/>
      <c r="L8" s="535"/>
      <c r="M8" s="536"/>
      <c r="N8" s="537"/>
      <c r="O8" s="538"/>
      <c r="P8" s="530"/>
      <c r="Q8" s="530">
        <f t="shared" si="0"/>
        <v>0</v>
      </c>
      <c r="R8" s="530"/>
      <c r="S8" s="539">
        <f t="shared" si="1"/>
        <v>0</v>
      </c>
    </row>
    <row r="9" spans="1:24" ht="51.75" customHeight="1" x14ac:dyDescent="0.35">
      <c r="A9" s="516"/>
      <c r="B9" s="529" t="s">
        <v>544</v>
      </c>
      <c r="C9" s="1067"/>
      <c r="D9" s="530">
        <v>1</v>
      </c>
      <c r="E9" s="356" t="s">
        <v>545</v>
      </c>
      <c r="F9" s="212" t="s">
        <v>546</v>
      </c>
      <c r="G9" s="867">
        <v>135</v>
      </c>
      <c r="H9" s="531"/>
      <c r="I9" s="532"/>
      <c r="J9" s="533"/>
      <c r="K9" s="534"/>
      <c r="L9" s="535"/>
      <c r="M9" s="536"/>
      <c r="N9" s="537"/>
      <c r="O9" s="538"/>
      <c r="P9" s="530"/>
      <c r="Q9" s="530">
        <f t="shared" si="0"/>
        <v>0</v>
      </c>
      <c r="R9" s="530"/>
      <c r="S9" s="539">
        <f t="shared" si="1"/>
        <v>0</v>
      </c>
    </row>
    <row r="10" spans="1:24" ht="51.75" customHeight="1" x14ac:dyDescent="0.35">
      <c r="A10" s="516"/>
      <c r="B10" s="529" t="s">
        <v>547</v>
      </c>
      <c r="C10" s="1068"/>
      <c r="D10" s="530">
        <v>1</v>
      </c>
      <c r="E10" s="356" t="s">
        <v>548</v>
      </c>
      <c r="F10" s="212" t="s">
        <v>549</v>
      </c>
      <c r="G10" s="867">
        <v>135</v>
      </c>
      <c r="H10" s="531"/>
      <c r="I10" s="532"/>
      <c r="J10" s="533"/>
      <c r="K10" s="534"/>
      <c r="L10" s="535"/>
      <c r="M10" s="536"/>
      <c r="N10" s="537"/>
      <c r="O10" s="538"/>
      <c r="P10" s="530"/>
      <c r="Q10" s="530">
        <f t="shared" si="0"/>
        <v>0</v>
      </c>
      <c r="R10" s="530"/>
      <c r="S10" s="539">
        <f t="shared" si="1"/>
        <v>0</v>
      </c>
    </row>
    <row r="11" spans="1:24" ht="51.75" customHeight="1" x14ac:dyDescent="0.35">
      <c r="A11" s="516"/>
      <c r="B11" s="529" t="s">
        <v>550</v>
      </c>
      <c r="C11" s="1069"/>
      <c r="D11" s="530">
        <v>1</v>
      </c>
      <c r="E11" s="356"/>
      <c r="F11" s="212" t="s">
        <v>551</v>
      </c>
      <c r="G11" s="867">
        <v>135</v>
      </c>
      <c r="H11" s="531"/>
      <c r="I11" s="532"/>
      <c r="J11" s="533"/>
      <c r="K11" s="534"/>
      <c r="L11" s="535"/>
      <c r="M11" s="536"/>
      <c r="N11" s="537"/>
      <c r="O11" s="538"/>
      <c r="P11" s="530"/>
      <c r="Q11" s="530">
        <f t="shared" si="0"/>
        <v>0</v>
      </c>
      <c r="R11" s="530"/>
      <c r="S11" s="539">
        <f t="shared" si="1"/>
        <v>0</v>
      </c>
    </row>
    <row r="12" spans="1:24" ht="51.75" customHeight="1" x14ac:dyDescent="0.35">
      <c r="A12" s="516"/>
      <c r="B12" s="529" t="s">
        <v>552</v>
      </c>
      <c r="C12" s="1067"/>
      <c r="D12" s="530">
        <v>1</v>
      </c>
      <c r="E12" s="356"/>
      <c r="F12" s="212" t="s">
        <v>553</v>
      </c>
      <c r="G12" s="867">
        <v>135</v>
      </c>
      <c r="H12" s="531"/>
      <c r="I12" s="532"/>
      <c r="J12" s="533"/>
      <c r="K12" s="534"/>
      <c r="L12" s="535"/>
      <c r="M12" s="536"/>
      <c r="N12" s="537"/>
      <c r="O12" s="538"/>
      <c r="P12" s="530"/>
      <c r="Q12" s="530">
        <f t="shared" si="0"/>
        <v>0</v>
      </c>
      <c r="R12" s="530"/>
      <c r="S12" s="539">
        <f t="shared" si="1"/>
        <v>0</v>
      </c>
    </row>
    <row r="13" spans="1:24" ht="51.75" customHeight="1" x14ac:dyDescent="0.35">
      <c r="A13" s="516"/>
      <c r="B13" s="529" t="s">
        <v>554</v>
      </c>
      <c r="C13" s="1067"/>
      <c r="D13" s="530">
        <v>1</v>
      </c>
      <c r="E13" s="356"/>
      <c r="F13" s="212" t="s">
        <v>555</v>
      </c>
      <c r="G13" s="867">
        <v>135</v>
      </c>
      <c r="H13" s="531"/>
      <c r="I13" s="532"/>
      <c r="J13" s="533"/>
      <c r="K13" s="534"/>
      <c r="L13" s="535"/>
      <c r="M13" s="536"/>
      <c r="N13" s="537"/>
      <c r="O13" s="538"/>
      <c r="P13" s="530"/>
      <c r="Q13" s="530">
        <f t="shared" si="0"/>
        <v>0</v>
      </c>
      <c r="R13" s="530"/>
      <c r="S13" s="539">
        <f t="shared" si="1"/>
        <v>0</v>
      </c>
    </row>
    <row r="14" spans="1:24" ht="51.75" customHeight="1" x14ac:dyDescent="0.35">
      <c r="A14" s="516"/>
      <c r="B14" s="540" t="s">
        <v>556</v>
      </c>
      <c r="C14" s="1070"/>
      <c r="D14" s="530">
        <v>1</v>
      </c>
      <c r="E14" s="541"/>
      <c r="F14" s="542" t="s">
        <v>557</v>
      </c>
      <c r="G14" s="867">
        <v>135</v>
      </c>
      <c r="H14" s="531"/>
      <c r="I14" s="532"/>
      <c r="J14" s="533"/>
      <c r="K14" s="534"/>
      <c r="L14" s="535"/>
      <c r="M14" s="536"/>
      <c r="N14" s="537"/>
      <c r="O14" s="538"/>
      <c r="P14" s="530"/>
      <c r="Q14" s="530">
        <f t="shared" si="0"/>
        <v>0</v>
      </c>
      <c r="R14" s="530"/>
      <c r="S14" s="539">
        <f t="shared" si="1"/>
        <v>0</v>
      </c>
    </row>
    <row r="15" spans="1:24" ht="16.5" customHeight="1" x14ac:dyDescent="0.35">
      <c r="A15" s="516"/>
      <c r="G15" s="864"/>
    </row>
    <row r="16" spans="1:24" ht="52.5" customHeight="1" x14ac:dyDescent="0.35">
      <c r="A16" s="516"/>
      <c r="B16" s="1071" t="s">
        <v>558</v>
      </c>
      <c r="C16" s="1056"/>
      <c r="D16" s="543">
        <f>SUM(D17:D29)</f>
        <v>13</v>
      </c>
      <c r="E16" s="1057" t="s">
        <v>559</v>
      </c>
      <c r="F16" s="1058"/>
      <c r="G16" s="739">
        <f>SUM(G17:G29)*0.9</f>
        <v>2816.2260000000006</v>
      </c>
      <c r="H16" s="544"/>
      <c r="I16" s="545"/>
      <c r="J16" s="546"/>
      <c r="K16" s="547"/>
      <c r="L16" s="548"/>
      <c r="M16" s="549"/>
      <c r="N16" s="550"/>
      <c r="O16" s="551"/>
      <c r="P16" s="552"/>
      <c r="Q16" s="552">
        <f>SUM(H16:P16)*D16</f>
        <v>0</v>
      </c>
      <c r="R16" s="552"/>
      <c r="S16" s="553">
        <f>SUM(H16:P16)*G16</f>
        <v>0</v>
      </c>
      <c r="T16" s="516"/>
      <c r="U16" s="516"/>
      <c r="V16" s="516"/>
      <c r="W16" s="516"/>
      <c r="X16" s="516"/>
    </row>
    <row r="17" spans="1:19" ht="99.75" customHeight="1" x14ac:dyDescent="0.35">
      <c r="A17" s="516"/>
      <c r="B17" s="554" t="s">
        <v>560</v>
      </c>
      <c r="C17" s="555"/>
      <c r="D17" s="556">
        <v>1</v>
      </c>
      <c r="E17" s="556" t="s">
        <v>561</v>
      </c>
      <c r="F17" s="557" t="s">
        <v>562</v>
      </c>
      <c r="G17" s="868">
        <v>175.1</v>
      </c>
      <c r="H17" s="558"/>
      <c r="I17" s="559"/>
      <c r="J17" s="560"/>
      <c r="K17" s="561"/>
      <c r="L17" s="562"/>
      <c r="M17" s="563"/>
      <c r="N17" s="564"/>
      <c r="O17" s="565"/>
      <c r="P17" s="556"/>
      <c r="Q17" s="556">
        <f t="shared" ref="Q17:Q29" si="2">SUM(H17:P17)</f>
        <v>0</v>
      </c>
      <c r="R17" s="556"/>
      <c r="S17" s="566">
        <f t="shared" ref="S17:S29" si="3">Q17*G17</f>
        <v>0</v>
      </c>
    </row>
    <row r="18" spans="1:19" ht="99.75" customHeight="1" x14ac:dyDescent="0.35">
      <c r="A18" s="516"/>
      <c r="B18" s="554" t="s">
        <v>563</v>
      </c>
      <c r="C18" s="74"/>
      <c r="D18" s="530">
        <v>1</v>
      </c>
      <c r="E18" s="530" t="s">
        <v>564</v>
      </c>
      <c r="F18" s="40" t="s">
        <v>565</v>
      </c>
      <c r="G18" s="867">
        <v>179.22</v>
      </c>
      <c r="H18" s="531"/>
      <c r="I18" s="532"/>
      <c r="J18" s="533"/>
      <c r="K18" s="534"/>
      <c r="L18" s="535"/>
      <c r="M18" s="536"/>
      <c r="N18" s="537"/>
      <c r="O18" s="538"/>
      <c r="P18" s="530"/>
      <c r="Q18" s="530">
        <f t="shared" si="2"/>
        <v>0</v>
      </c>
      <c r="R18" s="530"/>
      <c r="S18" s="567">
        <f t="shared" si="3"/>
        <v>0</v>
      </c>
    </row>
    <row r="19" spans="1:19" ht="99.75" customHeight="1" x14ac:dyDescent="0.35">
      <c r="A19" s="516"/>
      <c r="B19" s="554" t="s">
        <v>566</v>
      </c>
      <c r="C19" s="74"/>
      <c r="D19" s="530">
        <v>1</v>
      </c>
      <c r="E19" s="530" t="s">
        <v>567</v>
      </c>
      <c r="F19" s="40" t="s">
        <v>568</v>
      </c>
      <c r="G19" s="867">
        <v>295.61</v>
      </c>
      <c r="H19" s="531"/>
      <c r="I19" s="532"/>
      <c r="J19" s="533"/>
      <c r="K19" s="534"/>
      <c r="L19" s="535"/>
      <c r="M19" s="536"/>
      <c r="N19" s="537"/>
      <c r="O19" s="538"/>
      <c r="P19" s="530"/>
      <c r="Q19" s="530">
        <f t="shared" si="2"/>
        <v>0</v>
      </c>
      <c r="R19" s="530"/>
      <c r="S19" s="567">
        <f t="shared" si="3"/>
        <v>0</v>
      </c>
    </row>
    <row r="20" spans="1:19" ht="99.75" customHeight="1" x14ac:dyDescent="0.35">
      <c r="A20" s="516"/>
      <c r="B20" s="554" t="s">
        <v>569</v>
      </c>
      <c r="C20" s="74"/>
      <c r="D20" s="530">
        <v>1</v>
      </c>
      <c r="E20" s="530" t="s">
        <v>570</v>
      </c>
      <c r="F20" s="40" t="s">
        <v>571</v>
      </c>
      <c r="G20" s="867">
        <v>243.08</v>
      </c>
      <c r="H20" s="531"/>
      <c r="I20" s="532"/>
      <c r="J20" s="533"/>
      <c r="K20" s="534"/>
      <c r="L20" s="535"/>
      <c r="M20" s="536"/>
      <c r="N20" s="537"/>
      <c r="O20" s="538"/>
      <c r="P20" s="530"/>
      <c r="Q20" s="530">
        <f t="shared" si="2"/>
        <v>0</v>
      </c>
      <c r="R20" s="530"/>
      <c r="S20" s="567">
        <f t="shared" si="3"/>
        <v>0</v>
      </c>
    </row>
    <row r="21" spans="1:19" ht="99.75" customHeight="1" x14ac:dyDescent="0.35">
      <c r="A21" s="516"/>
      <c r="B21" s="554" t="s">
        <v>572</v>
      </c>
      <c r="C21" s="74"/>
      <c r="D21" s="530">
        <v>1</v>
      </c>
      <c r="E21" s="530" t="s">
        <v>573</v>
      </c>
      <c r="F21" s="40" t="s">
        <v>574</v>
      </c>
      <c r="G21" s="867">
        <v>294.58</v>
      </c>
      <c r="H21" s="531"/>
      <c r="I21" s="532"/>
      <c r="J21" s="533"/>
      <c r="K21" s="534"/>
      <c r="L21" s="535"/>
      <c r="M21" s="536"/>
      <c r="N21" s="537"/>
      <c r="O21" s="538"/>
      <c r="P21" s="530"/>
      <c r="Q21" s="530">
        <f t="shared" si="2"/>
        <v>0</v>
      </c>
      <c r="R21" s="530"/>
      <c r="S21" s="567">
        <f t="shared" si="3"/>
        <v>0</v>
      </c>
    </row>
    <row r="22" spans="1:19" ht="99.75" customHeight="1" x14ac:dyDescent="0.35">
      <c r="A22" s="516"/>
      <c r="B22" s="554" t="s">
        <v>575</v>
      </c>
      <c r="C22" s="568"/>
      <c r="D22" s="530">
        <v>1</v>
      </c>
      <c r="E22" s="530" t="s">
        <v>576</v>
      </c>
      <c r="F22" s="40" t="s">
        <v>577</v>
      </c>
      <c r="G22" s="867">
        <v>284.28000000000003</v>
      </c>
      <c r="H22" s="531"/>
      <c r="I22" s="532"/>
      <c r="J22" s="533"/>
      <c r="K22" s="534"/>
      <c r="L22" s="535"/>
      <c r="M22" s="536"/>
      <c r="N22" s="537"/>
      <c r="O22" s="538"/>
      <c r="P22" s="530"/>
      <c r="Q22" s="530">
        <f t="shared" si="2"/>
        <v>0</v>
      </c>
      <c r="R22" s="530"/>
      <c r="S22" s="567">
        <f t="shared" si="3"/>
        <v>0</v>
      </c>
    </row>
    <row r="23" spans="1:19" ht="99.75" customHeight="1" x14ac:dyDescent="0.35">
      <c r="A23" s="516"/>
      <c r="B23" s="554" t="s">
        <v>578</v>
      </c>
      <c r="C23" s="568"/>
      <c r="D23" s="530">
        <v>1</v>
      </c>
      <c r="E23" s="530" t="s">
        <v>579</v>
      </c>
      <c r="F23" s="40" t="s">
        <v>580</v>
      </c>
      <c r="G23" s="867">
        <v>256.47000000000003</v>
      </c>
      <c r="H23" s="531"/>
      <c r="I23" s="532"/>
      <c r="J23" s="533"/>
      <c r="K23" s="534"/>
      <c r="L23" s="535"/>
      <c r="M23" s="536"/>
      <c r="N23" s="537"/>
      <c r="O23" s="538"/>
      <c r="P23" s="530"/>
      <c r="Q23" s="530">
        <f t="shared" si="2"/>
        <v>0</v>
      </c>
      <c r="R23" s="530"/>
      <c r="S23" s="567">
        <f t="shared" si="3"/>
        <v>0</v>
      </c>
    </row>
    <row r="24" spans="1:19" ht="99.75" customHeight="1" x14ac:dyDescent="0.35">
      <c r="A24" s="516"/>
      <c r="B24" s="554" t="s">
        <v>581</v>
      </c>
      <c r="C24" s="74"/>
      <c r="D24" s="530">
        <v>1</v>
      </c>
      <c r="E24" s="530" t="s">
        <v>582</v>
      </c>
      <c r="F24" s="40" t="s">
        <v>583</v>
      </c>
      <c r="G24" s="867">
        <v>184.37</v>
      </c>
      <c r="H24" s="531"/>
      <c r="I24" s="532"/>
      <c r="J24" s="533"/>
      <c r="K24" s="534"/>
      <c r="L24" s="535"/>
      <c r="M24" s="536"/>
      <c r="N24" s="537"/>
      <c r="O24" s="538"/>
      <c r="P24" s="530"/>
      <c r="Q24" s="530">
        <f t="shared" si="2"/>
        <v>0</v>
      </c>
      <c r="R24" s="530"/>
      <c r="S24" s="567">
        <f t="shared" si="3"/>
        <v>0</v>
      </c>
    </row>
    <row r="25" spans="1:19" ht="99.75" customHeight="1" x14ac:dyDescent="0.35">
      <c r="A25" s="516"/>
      <c r="B25" s="554" t="s">
        <v>584</v>
      </c>
      <c r="C25" s="74"/>
      <c r="D25" s="530">
        <v>1</v>
      </c>
      <c r="E25" s="530" t="s">
        <v>585</v>
      </c>
      <c r="F25" s="40" t="s">
        <v>586</v>
      </c>
      <c r="G25" s="867">
        <v>179.22</v>
      </c>
      <c r="H25" s="531"/>
      <c r="I25" s="532"/>
      <c r="J25" s="533"/>
      <c r="K25" s="534"/>
      <c r="L25" s="535"/>
      <c r="M25" s="536"/>
      <c r="N25" s="537"/>
      <c r="O25" s="538"/>
      <c r="P25" s="530"/>
      <c r="Q25" s="530">
        <f t="shared" si="2"/>
        <v>0</v>
      </c>
      <c r="R25" s="530"/>
      <c r="S25" s="567">
        <f t="shared" si="3"/>
        <v>0</v>
      </c>
    </row>
    <row r="26" spans="1:19" ht="99.75" customHeight="1" x14ac:dyDescent="0.35">
      <c r="A26" s="516"/>
      <c r="B26" s="554" t="s">
        <v>587</v>
      </c>
      <c r="C26" s="74"/>
      <c r="D26" s="530">
        <v>1</v>
      </c>
      <c r="E26" s="530" t="s">
        <v>588</v>
      </c>
      <c r="F26" s="40" t="s">
        <v>589</v>
      </c>
      <c r="G26" s="867">
        <v>294.58</v>
      </c>
      <c r="H26" s="531"/>
      <c r="I26" s="532"/>
      <c r="J26" s="533"/>
      <c r="K26" s="534"/>
      <c r="L26" s="535"/>
      <c r="M26" s="536"/>
      <c r="N26" s="537"/>
      <c r="O26" s="538"/>
      <c r="P26" s="354"/>
      <c r="Q26" s="530">
        <f t="shared" si="2"/>
        <v>0</v>
      </c>
      <c r="R26" s="530"/>
      <c r="S26" s="567">
        <f t="shared" si="3"/>
        <v>0</v>
      </c>
    </row>
    <row r="27" spans="1:19" ht="99.75" customHeight="1" x14ac:dyDescent="0.35">
      <c r="A27" s="516"/>
      <c r="B27" s="554" t="s">
        <v>590</v>
      </c>
      <c r="C27" s="74"/>
      <c r="D27" s="530">
        <v>1</v>
      </c>
      <c r="E27" s="530" t="s">
        <v>591</v>
      </c>
      <c r="F27" s="40" t="s">
        <v>592</v>
      </c>
      <c r="G27" s="867">
        <v>174.07</v>
      </c>
      <c r="H27" s="531"/>
      <c r="I27" s="532"/>
      <c r="J27" s="533"/>
      <c r="K27" s="534"/>
      <c r="L27" s="535"/>
      <c r="M27" s="536"/>
      <c r="N27" s="537"/>
      <c r="O27" s="538"/>
      <c r="P27" s="530"/>
      <c r="Q27" s="530">
        <f t="shared" si="2"/>
        <v>0</v>
      </c>
      <c r="R27" s="530"/>
      <c r="S27" s="567">
        <f t="shared" si="3"/>
        <v>0</v>
      </c>
    </row>
    <row r="28" spans="1:19" ht="99.75" customHeight="1" x14ac:dyDescent="0.35">
      <c r="A28" s="516"/>
      <c r="B28" s="554" t="s">
        <v>593</v>
      </c>
      <c r="C28" s="568"/>
      <c r="D28" s="530">
        <v>1</v>
      </c>
      <c r="E28" s="530" t="s">
        <v>594</v>
      </c>
      <c r="F28" s="40" t="s">
        <v>595</v>
      </c>
      <c r="G28" s="867">
        <v>284.28000000000003</v>
      </c>
      <c r="H28" s="531"/>
      <c r="I28" s="532"/>
      <c r="J28" s="533"/>
      <c r="K28" s="534"/>
      <c r="L28" s="535"/>
      <c r="M28" s="536"/>
      <c r="N28" s="537"/>
      <c r="O28" s="538"/>
      <c r="P28" s="530"/>
      <c r="Q28" s="530">
        <f t="shared" si="2"/>
        <v>0</v>
      </c>
      <c r="R28" s="530"/>
      <c r="S28" s="567">
        <f t="shared" si="3"/>
        <v>0</v>
      </c>
    </row>
    <row r="29" spans="1:19" ht="99.75" customHeight="1" x14ac:dyDescent="0.35">
      <c r="A29" s="516"/>
      <c r="B29" s="554" t="s">
        <v>596</v>
      </c>
      <c r="C29" s="568"/>
      <c r="D29" s="530">
        <v>1</v>
      </c>
      <c r="E29" s="530" t="s">
        <v>594</v>
      </c>
      <c r="F29" s="40" t="s">
        <v>597</v>
      </c>
      <c r="G29" s="867">
        <v>284.28000000000003</v>
      </c>
      <c r="H29" s="531"/>
      <c r="I29" s="532"/>
      <c r="J29" s="533"/>
      <c r="K29" s="534"/>
      <c r="L29" s="535"/>
      <c r="M29" s="536"/>
      <c r="N29" s="537"/>
      <c r="O29" s="538"/>
      <c r="P29" s="530"/>
      <c r="Q29" s="530">
        <f t="shared" si="2"/>
        <v>0</v>
      </c>
      <c r="R29" s="530"/>
      <c r="S29" s="567">
        <f t="shared" si="3"/>
        <v>0</v>
      </c>
    </row>
    <row r="30" spans="1:19" ht="28.5" customHeight="1" x14ac:dyDescent="0.35">
      <c r="A30" s="516"/>
      <c r="G30" s="864"/>
    </row>
    <row r="31" spans="1:19" ht="58.5" customHeight="1" x14ac:dyDescent="0.35">
      <c r="A31" s="516"/>
      <c r="B31" s="1055" t="s">
        <v>598</v>
      </c>
      <c r="C31" s="1056"/>
      <c r="D31" s="543">
        <v>18</v>
      </c>
      <c r="E31" s="1057" t="s">
        <v>599</v>
      </c>
      <c r="F31" s="1058"/>
      <c r="G31" s="739">
        <v>3093.54</v>
      </c>
      <c r="H31" s="544"/>
      <c r="I31" s="545"/>
      <c r="J31" s="546"/>
      <c r="K31" s="569"/>
      <c r="L31" s="548"/>
      <c r="M31" s="549"/>
      <c r="N31" s="550"/>
      <c r="O31" s="551"/>
      <c r="P31" s="552"/>
      <c r="Q31" s="552">
        <f>SUM(H31:P31)*D31</f>
        <v>0</v>
      </c>
      <c r="R31" s="570"/>
      <c r="S31" s="553">
        <f>SUM(H31:P31)*G31</f>
        <v>0</v>
      </c>
    </row>
    <row r="32" spans="1:19" ht="73.5" customHeight="1" x14ac:dyDescent="0.35">
      <c r="A32" s="516"/>
      <c r="B32" s="571" t="s">
        <v>600</v>
      </c>
      <c r="C32" s="572"/>
      <c r="D32" s="556">
        <v>1</v>
      </c>
      <c r="E32" s="556" t="s">
        <v>601</v>
      </c>
      <c r="F32" s="557" t="s">
        <v>602</v>
      </c>
      <c r="G32" s="867">
        <v>164.8</v>
      </c>
      <c r="H32" s="558"/>
      <c r="I32" s="559"/>
      <c r="J32" s="560"/>
      <c r="K32" s="561"/>
      <c r="L32" s="562"/>
      <c r="M32" s="563"/>
      <c r="N32" s="564"/>
      <c r="O32" s="565"/>
      <c r="P32" s="556"/>
      <c r="Q32" s="556">
        <f t="shared" ref="Q32:Q49" si="4">SUM(H32:P32)</f>
        <v>0</v>
      </c>
      <c r="R32" s="556"/>
      <c r="S32" s="566">
        <f t="shared" ref="S32:S49" si="5">Q32*G32</f>
        <v>0</v>
      </c>
    </row>
    <row r="33" spans="1:19" ht="73.5" customHeight="1" x14ac:dyDescent="0.35">
      <c r="A33" s="516"/>
      <c r="B33" s="571" t="s">
        <v>603</v>
      </c>
      <c r="C33" s="568"/>
      <c r="D33" s="530">
        <v>1</v>
      </c>
      <c r="E33" s="530" t="s">
        <v>604</v>
      </c>
      <c r="F33" s="40" t="s">
        <v>605</v>
      </c>
      <c r="G33" s="867">
        <v>170.98000000000002</v>
      </c>
      <c r="H33" s="531"/>
      <c r="I33" s="532"/>
      <c r="J33" s="533"/>
      <c r="K33" s="534"/>
      <c r="L33" s="535"/>
      <c r="M33" s="536"/>
      <c r="N33" s="537"/>
      <c r="O33" s="538"/>
      <c r="P33" s="530"/>
      <c r="Q33" s="530">
        <f t="shared" si="4"/>
        <v>0</v>
      </c>
      <c r="R33" s="530"/>
      <c r="S33" s="567">
        <f t="shared" si="5"/>
        <v>0</v>
      </c>
    </row>
    <row r="34" spans="1:19" ht="73.5" customHeight="1" x14ac:dyDescent="0.35">
      <c r="A34" s="516"/>
      <c r="B34" s="571" t="s">
        <v>606</v>
      </c>
      <c r="C34" s="568"/>
      <c r="D34" s="530">
        <v>1</v>
      </c>
      <c r="E34" s="530" t="s">
        <v>607</v>
      </c>
      <c r="F34" s="40" t="s">
        <v>608</v>
      </c>
      <c r="G34" s="867">
        <v>177.16</v>
      </c>
      <c r="H34" s="531"/>
      <c r="I34" s="532"/>
      <c r="J34" s="533"/>
      <c r="K34" s="534"/>
      <c r="L34" s="535"/>
      <c r="M34" s="536"/>
      <c r="N34" s="537"/>
      <c r="O34" s="538"/>
      <c r="P34" s="530"/>
      <c r="Q34" s="530">
        <f t="shared" si="4"/>
        <v>0</v>
      </c>
      <c r="R34" s="530"/>
      <c r="S34" s="567">
        <f t="shared" si="5"/>
        <v>0</v>
      </c>
    </row>
    <row r="35" spans="1:19" ht="73.5" customHeight="1" x14ac:dyDescent="0.35">
      <c r="A35" s="516"/>
      <c r="B35" s="571" t="s">
        <v>609</v>
      </c>
      <c r="C35" s="568"/>
      <c r="D35" s="530">
        <v>1</v>
      </c>
      <c r="E35" s="530" t="s">
        <v>610</v>
      </c>
      <c r="F35" s="40" t="s">
        <v>611</v>
      </c>
      <c r="G35" s="867">
        <v>214.24</v>
      </c>
      <c r="H35" s="531"/>
      <c r="I35" s="532"/>
      <c r="J35" s="533"/>
      <c r="K35" s="534"/>
      <c r="L35" s="535"/>
      <c r="M35" s="536"/>
      <c r="N35" s="537"/>
      <c r="O35" s="538"/>
      <c r="P35" s="530"/>
      <c r="Q35" s="530">
        <f t="shared" si="4"/>
        <v>0</v>
      </c>
      <c r="R35" s="530"/>
      <c r="S35" s="567">
        <f t="shared" si="5"/>
        <v>0</v>
      </c>
    </row>
    <row r="36" spans="1:19" ht="73.5" customHeight="1" x14ac:dyDescent="0.35">
      <c r="A36" s="516"/>
      <c r="B36" s="571" t="s">
        <v>612</v>
      </c>
      <c r="C36" s="568"/>
      <c r="D36" s="530">
        <v>1</v>
      </c>
      <c r="E36" s="530" t="s">
        <v>613</v>
      </c>
      <c r="F36" s="40" t="s">
        <v>614</v>
      </c>
      <c r="G36" s="867">
        <v>222.48000000000002</v>
      </c>
      <c r="H36" s="531"/>
      <c r="I36" s="532"/>
      <c r="J36" s="533"/>
      <c r="K36" s="534"/>
      <c r="L36" s="535"/>
      <c r="M36" s="536"/>
      <c r="N36" s="537"/>
      <c r="O36" s="538"/>
      <c r="P36" s="530"/>
      <c r="Q36" s="530">
        <f t="shared" si="4"/>
        <v>0</v>
      </c>
      <c r="R36" s="530"/>
      <c r="S36" s="567">
        <f t="shared" si="5"/>
        <v>0</v>
      </c>
    </row>
    <row r="37" spans="1:19" ht="73.5" customHeight="1" x14ac:dyDescent="0.35">
      <c r="A37" s="516"/>
      <c r="B37" s="571" t="s">
        <v>615</v>
      </c>
      <c r="C37" s="568"/>
      <c r="D37" s="530">
        <v>1</v>
      </c>
      <c r="E37" s="530" t="s">
        <v>616</v>
      </c>
      <c r="F37" s="40" t="s">
        <v>617</v>
      </c>
      <c r="G37" s="867">
        <v>222.48000000000002</v>
      </c>
      <c r="H37" s="531"/>
      <c r="I37" s="532"/>
      <c r="J37" s="533"/>
      <c r="K37" s="534"/>
      <c r="L37" s="535"/>
      <c r="M37" s="536"/>
      <c r="N37" s="537"/>
      <c r="O37" s="538"/>
      <c r="P37" s="530"/>
      <c r="Q37" s="530">
        <f t="shared" si="4"/>
        <v>0</v>
      </c>
      <c r="R37" s="530"/>
      <c r="S37" s="567">
        <f t="shared" si="5"/>
        <v>0</v>
      </c>
    </row>
    <row r="38" spans="1:19" ht="73.5" customHeight="1" x14ac:dyDescent="0.35">
      <c r="A38" s="516"/>
      <c r="B38" s="571" t="s">
        <v>618</v>
      </c>
      <c r="C38" s="568"/>
      <c r="D38" s="530">
        <v>1</v>
      </c>
      <c r="E38" s="530" t="s">
        <v>619</v>
      </c>
      <c r="F38" s="40" t="s">
        <v>620</v>
      </c>
      <c r="G38" s="867">
        <v>238.96</v>
      </c>
      <c r="H38" s="531"/>
      <c r="I38" s="532"/>
      <c r="J38" s="533"/>
      <c r="K38" s="534"/>
      <c r="L38" s="535"/>
      <c r="M38" s="536"/>
      <c r="N38" s="537"/>
      <c r="O38" s="538"/>
      <c r="P38" s="530"/>
      <c r="Q38" s="530">
        <f t="shared" si="4"/>
        <v>0</v>
      </c>
      <c r="R38" s="530"/>
      <c r="S38" s="567">
        <f t="shared" si="5"/>
        <v>0</v>
      </c>
    </row>
    <row r="39" spans="1:19" ht="73.5" customHeight="1" x14ac:dyDescent="0.35">
      <c r="A39" s="516"/>
      <c r="B39" s="571" t="s">
        <v>621</v>
      </c>
      <c r="C39" s="568"/>
      <c r="D39" s="530">
        <v>1</v>
      </c>
      <c r="E39" s="530" t="s">
        <v>622</v>
      </c>
      <c r="F39" s="40" t="s">
        <v>623</v>
      </c>
      <c r="G39" s="867">
        <v>157.59</v>
      </c>
      <c r="H39" s="531"/>
      <c r="I39" s="532"/>
      <c r="J39" s="533"/>
      <c r="K39" s="534"/>
      <c r="L39" s="535"/>
      <c r="M39" s="536"/>
      <c r="N39" s="537"/>
      <c r="O39" s="538"/>
      <c r="P39" s="530"/>
      <c r="Q39" s="530">
        <f t="shared" si="4"/>
        <v>0</v>
      </c>
      <c r="R39" s="530"/>
      <c r="S39" s="567">
        <f t="shared" si="5"/>
        <v>0</v>
      </c>
    </row>
    <row r="40" spans="1:19" ht="73.5" customHeight="1" x14ac:dyDescent="0.35">
      <c r="A40" s="516"/>
      <c r="B40" s="571" t="s">
        <v>624</v>
      </c>
      <c r="C40" s="568"/>
      <c r="D40" s="530">
        <v>1</v>
      </c>
      <c r="E40" s="530" t="s">
        <v>622</v>
      </c>
      <c r="F40" s="40" t="s">
        <v>625</v>
      </c>
      <c r="G40" s="867">
        <v>157.59</v>
      </c>
      <c r="H40" s="531"/>
      <c r="I40" s="532"/>
      <c r="J40" s="533"/>
      <c r="K40" s="534"/>
      <c r="L40" s="535"/>
      <c r="M40" s="536"/>
      <c r="N40" s="537"/>
      <c r="O40" s="538"/>
      <c r="P40" s="530"/>
      <c r="Q40" s="530">
        <f t="shared" si="4"/>
        <v>0</v>
      </c>
      <c r="R40" s="530"/>
      <c r="S40" s="567">
        <f t="shared" si="5"/>
        <v>0</v>
      </c>
    </row>
    <row r="41" spans="1:19" ht="73.5" customHeight="1" x14ac:dyDescent="0.35">
      <c r="A41" s="516"/>
      <c r="B41" s="571" t="s">
        <v>626</v>
      </c>
      <c r="C41" s="568"/>
      <c r="D41" s="530">
        <v>1</v>
      </c>
      <c r="E41" s="530" t="s">
        <v>622</v>
      </c>
      <c r="F41" s="40" t="s">
        <v>627</v>
      </c>
      <c r="G41" s="867">
        <v>157.59</v>
      </c>
      <c r="H41" s="531"/>
      <c r="I41" s="532"/>
      <c r="J41" s="533"/>
      <c r="K41" s="534"/>
      <c r="L41" s="535"/>
      <c r="M41" s="536"/>
      <c r="N41" s="537"/>
      <c r="O41" s="538"/>
      <c r="P41" s="530"/>
      <c r="Q41" s="530">
        <f t="shared" si="4"/>
        <v>0</v>
      </c>
      <c r="R41" s="530"/>
      <c r="S41" s="567">
        <f t="shared" si="5"/>
        <v>0</v>
      </c>
    </row>
    <row r="42" spans="1:19" ht="73.5" customHeight="1" x14ac:dyDescent="0.35">
      <c r="A42" s="516"/>
      <c r="B42" s="571" t="s">
        <v>628</v>
      </c>
      <c r="C42" s="568"/>
      <c r="D42" s="530">
        <v>1</v>
      </c>
      <c r="E42" s="530" t="s">
        <v>622</v>
      </c>
      <c r="F42" s="40" t="s">
        <v>629</v>
      </c>
      <c r="G42" s="867">
        <v>157.59</v>
      </c>
      <c r="H42" s="531"/>
      <c r="I42" s="532"/>
      <c r="J42" s="533"/>
      <c r="K42" s="534"/>
      <c r="L42" s="535"/>
      <c r="M42" s="536"/>
      <c r="N42" s="537"/>
      <c r="O42" s="538"/>
      <c r="P42" s="530"/>
      <c r="Q42" s="530">
        <f t="shared" si="4"/>
        <v>0</v>
      </c>
      <c r="R42" s="530"/>
      <c r="S42" s="567">
        <f t="shared" si="5"/>
        <v>0</v>
      </c>
    </row>
    <row r="43" spans="1:19" ht="73.5" customHeight="1" x14ac:dyDescent="0.35">
      <c r="A43" s="516"/>
      <c r="B43" s="571" t="s">
        <v>630</v>
      </c>
      <c r="C43" s="568"/>
      <c r="D43" s="530">
        <v>1</v>
      </c>
      <c r="E43" s="530" t="s">
        <v>631</v>
      </c>
      <c r="F43" s="40" t="s">
        <v>632</v>
      </c>
      <c r="G43" s="867">
        <v>176.13</v>
      </c>
      <c r="H43" s="531"/>
      <c r="I43" s="532"/>
      <c r="J43" s="533"/>
      <c r="K43" s="534"/>
      <c r="L43" s="535"/>
      <c r="M43" s="536"/>
      <c r="N43" s="537"/>
      <c r="O43" s="538"/>
      <c r="P43" s="530"/>
      <c r="Q43" s="530">
        <f t="shared" si="4"/>
        <v>0</v>
      </c>
      <c r="R43" s="530"/>
      <c r="S43" s="567">
        <f t="shared" si="5"/>
        <v>0</v>
      </c>
    </row>
    <row r="44" spans="1:19" ht="73.5" customHeight="1" x14ac:dyDescent="0.35">
      <c r="A44" s="516"/>
      <c r="B44" s="571" t="s">
        <v>633</v>
      </c>
      <c r="C44" s="568"/>
      <c r="D44" s="530">
        <v>1</v>
      </c>
      <c r="E44" s="530" t="s">
        <v>634</v>
      </c>
      <c r="F44" s="40" t="s">
        <v>635</v>
      </c>
      <c r="G44" s="867">
        <v>181.28</v>
      </c>
      <c r="H44" s="531"/>
      <c r="I44" s="532"/>
      <c r="J44" s="533"/>
      <c r="K44" s="534"/>
      <c r="L44" s="535"/>
      <c r="M44" s="536"/>
      <c r="N44" s="537"/>
      <c r="O44" s="538"/>
      <c r="P44" s="530"/>
      <c r="Q44" s="530">
        <f t="shared" si="4"/>
        <v>0</v>
      </c>
      <c r="R44" s="530"/>
      <c r="S44" s="567">
        <f t="shared" si="5"/>
        <v>0</v>
      </c>
    </row>
    <row r="45" spans="1:19" ht="73.5" customHeight="1" x14ac:dyDescent="0.35">
      <c r="A45" s="516"/>
      <c r="B45" s="571" t="s">
        <v>636</v>
      </c>
      <c r="C45" s="568"/>
      <c r="D45" s="530">
        <v>1</v>
      </c>
      <c r="E45" s="530" t="s">
        <v>637</v>
      </c>
      <c r="F45" s="40" t="s">
        <v>638</v>
      </c>
      <c r="G45" s="867">
        <v>206</v>
      </c>
      <c r="H45" s="531"/>
      <c r="I45" s="532"/>
      <c r="J45" s="533"/>
      <c r="K45" s="534"/>
      <c r="L45" s="535"/>
      <c r="M45" s="536"/>
      <c r="N45" s="537"/>
      <c r="O45" s="538"/>
      <c r="P45" s="530"/>
      <c r="Q45" s="530">
        <f t="shared" si="4"/>
        <v>0</v>
      </c>
      <c r="R45" s="530"/>
      <c r="S45" s="567">
        <f t="shared" si="5"/>
        <v>0</v>
      </c>
    </row>
    <row r="46" spans="1:19" ht="73.5" customHeight="1" x14ac:dyDescent="0.35">
      <c r="A46" s="516"/>
      <c r="B46" s="571" t="s">
        <v>639</v>
      </c>
      <c r="C46" s="568"/>
      <c r="D46" s="530">
        <v>1</v>
      </c>
      <c r="E46" s="530" t="s">
        <v>640</v>
      </c>
      <c r="F46" s="40" t="s">
        <v>641</v>
      </c>
      <c r="G46" s="867">
        <v>206</v>
      </c>
      <c r="H46" s="531"/>
      <c r="I46" s="532"/>
      <c r="J46" s="533"/>
      <c r="K46" s="534"/>
      <c r="L46" s="535"/>
      <c r="M46" s="536"/>
      <c r="N46" s="537"/>
      <c r="O46" s="538"/>
      <c r="P46" s="530"/>
      <c r="Q46" s="530">
        <f t="shared" si="4"/>
        <v>0</v>
      </c>
      <c r="R46" s="530"/>
      <c r="S46" s="567">
        <f t="shared" si="5"/>
        <v>0</v>
      </c>
    </row>
    <row r="47" spans="1:19" ht="73.5" customHeight="1" x14ac:dyDescent="0.35">
      <c r="A47" s="516"/>
      <c r="B47" s="571" t="s">
        <v>642</v>
      </c>
      <c r="C47" s="568"/>
      <c r="D47" s="530">
        <v>1</v>
      </c>
      <c r="E47" s="530" t="s">
        <v>643</v>
      </c>
      <c r="F47" s="40" t="s">
        <v>644</v>
      </c>
      <c r="G47" s="867">
        <v>228.66</v>
      </c>
      <c r="H47" s="531"/>
      <c r="I47" s="532"/>
      <c r="J47" s="533"/>
      <c r="K47" s="534"/>
      <c r="L47" s="535"/>
      <c r="M47" s="536"/>
      <c r="N47" s="537"/>
      <c r="O47" s="538"/>
      <c r="P47" s="530"/>
      <c r="Q47" s="530">
        <f t="shared" si="4"/>
        <v>0</v>
      </c>
      <c r="R47" s="530"/>
      <c r="S47" s="567">
        <f t="shared" si="5"/>
        <v>0</v>
      </c>
    </row>
    <row r="48" spans="1:19" ht="73.5" customHeight="1" x14ac:dyDescent="0.35">
      <c r="A48" s="516"/>
      <c r="B48" s="571" t="s">
        <v>645</v>
      </c>
      <c r="C48" s="568"/>
      <c r="D48" s="530">
        <v>1</v>
      </c>
      <c r="E48" s="530" t="s">
        <v>646</v>
      </c>
      <c r="F48" s="40" t="s">
        <v>647</v>
      </c>
      <c r="G48" s="867">
        <v>234.84</v>
      </c>
      <c r="H48" s="531"/>
      <c r="I48" s="532"/>
      <c r="J48" s="533"/>
      <c r="K48" s="534"/>
      <c r="L48" s="535"/>
      <c r="M48" s="536"/>
      <c r="N48" s="537"/>
      <c r="O48" s="538"/>
      <c r="P48" s="530"/>
      <c r="Q48" s="530">
        <f t="shared" si="4"/>
        <v>0</v>
      </c>
      <c r="R48" s="530"/>
      <c r="S48" s="567">
        <f t="shared" si="5"/>
        <v>0</v>
      </c>
    </row>
    <row r="49" spans="1:19" ht="73.5" customHeight="1" x14ac:dyDescent="0.35">
      <c r="A49" s="516"/>
      <c r="B49" s="571" t="s">
        <v>648</v>
      </c>
      <c r="C49" s="568"/>
      <c r="D49" s="530">
        <v>1</v>
      </c>
      <c r="E49" s="530" t="s">
        <v>649</v>
      </c>
      <c r="F49" s="40" t="s">
        <v>650</v>
      </c>
      <c r="G49" s="867">
        <v>241.02</v>
      </c>
      <c r="H49" s="531"/>
      <c r="I49" s="532"/>
      <c r="J49" s="533"/>
      <c r="K49" s="573"/>
      <c r="L49" s="535"/>
      <c r="M49" s="574"/>
      <c r="N49" s="575"/>
      <c r="O49" s="538"/>
      <c r="P49" s="530"/>
      <c r="Q49" s="530">
        <f t="shared" si="4"/>
        <v>0</v>
      </c>
      <c r="R49" s="530"/>
      <c r="S49" s="567">
        <f t="shared" si="5"/>
        <v>0</v>
      </c>
    </row>
    <row r="50" spans="1:19" ht="21" customHeight="1" x14ac:dyDescent="0.35">
      <c r="A50" s="516"/>
    </row>
    <row r="51" spans="1:19" ht="12" customHeight="1" x14ac:dyDescent="0.35">
      <c r="A51" s="516"/>
      <c r="G51" s="864"/>
    </row>
    <row r="52" spans="1:19" ht="12.75" customHeight="1" x14ac:dyDescent="0.35">
      <c r="A52" s="516"/>
      <c r="G52" s="864"/>
    </row>
    <row r="53" spans="1:19" ht="54.75" customHeight="1" x14ac:dyDescent="0.35">
      <c r="A53" s="516"/>
      <c r="B53" s="1059" t="s">
        <v>651</v>
      </c>
      <c r="C53" s="1056"/>
      <c r="D53" s="570">
        <f>SUM(D54:D68)</f>
        <v>15</v>
      </c>
      <c r="E53" s="1060" t="s">
        <v>559</v>
      </c>
      <c r="F53" s="1058"/>
      <c r="G53" s="739">
        <v>1863</v>
      </c>
      <c r="H53" s="576"/>
      <c r="I53" s="577"/>
      <c r="J53" s="578"/>
      <c r="K53" s="579"/>
      <c r="L53" s="580"/>
      <c r="M53" s="581"/>
      <c r="N53" s="582"/>
      <c r="O53" s="583"/>
      <c r="P53" s="570"/>
      <c r="Q53" s="552">
        <f>SUM(H53:P53)*D53</f>
        <v>0</v>
      </c>
      <c r="R53" s="570"/>
      <c r="S53" s="553">
        <f>SUM(H53:P53)*G53</f>
        <v>0</v>
      </c>
    </row>
    <row r="54" spans="1:19" ht="68.25" customHeight="1" x14ac:dyDescent="0.35">
      <c r="A54" s="516"/>
      <c r="B54" s="584" t="s">
        <v>652</v>
      </c>
      <c r="C54" s="572"/>
      <c r="D54" s="556">
        <v>1</v>
      </c>
      <c r="E54" s="585" t="s">
        <v>653</v>
      </c>
      <c r="F54" s="586" t="s">
        <v>654</v>
      </c>
      <c r="G54" s="868">
        <v>142.13999999999999</v>
      </c>
      <c r="H54" s="558"/>
      <c r="I54" s="559"/>
      <c r="J54" s="560"/>
      <c r="K54" s="587"/>
      <c r="L54" s="562"/>
      <c r="M54" s="588"/>
      <c r="N54" s="564"/>
      <c r="O54" s="565"/>
      <c r="P54" s="556"/>
      <c r="Q54" s="556">
        <f t="shared" ref="Q54:Q68" si="6">SUM(H54:P54)</f>
        <v>0</v>
      </c>
      <c r="R54" s="556"/>
      <c r="S54" s="566">
        <f t="shared" ref="S54:S68" si="7">Q54*G54</f>
        <v>0</v>
      </c>
    </row>
    <row r="55" spans="1:19" ht="68.25" customHeight="1" x14ac:dyDescent="0.35">
      <c r="A55" s="516"/>
      <c r="B55" s="584" t="s">
        <v>655</v>
      </c>
      <c r="C55" s="572"/>
      <c r="D55" s="556">
        <v>1</v>
      </c>
      <c r="E55" s="585" t="s">
        <v>656</v>
      </c>
      <c r="F55" s="586" t="s">
        <v>657</v>
      </c>
      <c r="G55" s="868">
        <v>142.13999999999999</v>
      </c>
      <c r="H55" s="558"/>
      <c r="I55" s="559"/>
      <c r="J55" s="560"/>
      <c r="K55" s="561"/>
      <c r="L55" s="562"/>
      <c r="M55" s="563"/>
      <c r="N55" s="564"/>
      <c r="O55" s="565"/>
      <c r="P55" s="556"/>
      <c r="Q55" s="556">
        <f t="shared" si="6"/>
        <v>0</v>
      </c>
      <c r="R55" s="556"/>
      <c r="S55" s="566">
        <f t="shared" si="7"/>
        <v>0</v>
      </c>
    </row>
    <row r="56" spans="1:19" ht="68.25" customHeight="1" x14ac:dyDescent="0.35">
      <c r="A56" s="516"/>
      <c r="B56" s="584" t="s">
        <v>658</v>
      </c>
      <c r="C56" s="568"/>
      <c r="D56" s="530">
        <v>1</v>
      </c>
      <c r="E56" s="356" t="s">
        <v>659</v>
      </c>
      <c r="F56" s="212" t="s">
        <v>660</v>
      </c>
      <c r="G56" s="868">
        <v>142.13999999999999</v>
      </c>
      <c r="H56" s="558"/>
      <c r="I56" s="559"/>
      <c r="J56" s="560"/>
      <c r="K56" s="561"/>
      <c r="L56" s="562"/>
      <c r="M56" s="563"/>
      <c r="N56" s="564"/>
      <c r="O56" s="565"/>
      <c r="P56" s="556"/>
      <c r="Q56" s="556">
        <f t="shared" si="6"/>
        <v>0</v>
      </c>
      <c r="R56" s="556"/>
      <c r="S56" s="566">
        <f t="shared" si="7"/>
        <v>0</v>
      </c>
    </row>
    <row r="57" spans="1:19" ht="68.25" customHeight="1" x14ac:dyDescent="0.35">
      <c r="A57" s="516"/>
      <c r="B57" s="584" t="s">
        <v>661</v>
      </c>
      <c r="C57" s="568"/>
      <c r="D57" s="530">
        <v>1</v>
      </c>
      <c r="E57" s="356" t="s">
        <v>659</v>
      </c>
      <c r="F57" s="212" t="s">
        <v>662</v>
      </c>
      <c r="G57" s="868">
        <v>142.13999999999999</v>
      </c>
      <c r="H57" s="558"/>
      <c r="I57" s="559"/>
      <c r="J57" s="560"/>
      <c r="K57" s="561"/>
      <c r="L57" s="562"/>
      <c r="M57" s="563"/>
      <c r="N57" s="564"/>
      <c r="O57" s="565"/>
      <c r="P57" s="556"/>
      <c r="Q57" s="556">
        <f t="shared" si="6"/>
        <v>0</v>
      </c>
      <c r="R57" s="556"/>
      <c r="S57" s="566">
        <f t="shared" si="7"/>
        <v>0</v>
      </c>
    </row>
    <row r="58" spans="1:19" ht="68.25" customHeight="1" x14ac:dyDescent="0.35">
      <c r="A58" s="516"/>
      <c r="B58" s="584" t="s">
        <v>663</v>
      </c>
      <c r="C58" s="568"/>
      <c r="D58" s="530">
        <v>1</v>
      </c>
      <c r="E58" s="356" t="s">
        <v>664</v>
      </c>
      <c r="F58" s="212" t="s">
        <v>665</v>
      </c>
      <c r="G58" s="868">
        <v>142.13999999999999</v>
      </c>
      <c r="H58" s="558"/>
      <c r="I58" s="559"/>
      <c r="J58" s="560"/>
      <c r="K58" s="561"/>
      <c r="L58" s="562"/>
      <c r="M58" s="563"/>
      <c r="N58" s="564"/>
      <c r="O58" s="565"/>
      <c r="P58" s="556"/>
      <c r="Q58" s="556">
        <f t="shared" si="6"/>
        <v>0</v>
      </c>
      <c r="R58" s="556"/>
      <c r="S58" s="566">
        <f t="shared" si="7"/>
        <v>0</v>
      </c>
    </row>
    <row r="59" spans="1:19" ht="68.25" customHeight="1" x14ac:dyDescent="0.35">
      <c r="A59" s="516"/>
      <c r="B59" s="584" t="s">
        <v>666</v>
      </c>
      <c r="C59" s="568"/>
      <c r="D59" s="530">
        <v>1</v>
      </c>
      <c r="E59" s="356" t="s">
        <v>664</v>
      </c>
      <c r="F59" s="212" t="s">
        <v>667</v>
      </c>
      <c r="G59" s="868">
        <v>142.13999999999999</v>
      </c>
      <c r="H59" s="558"/>
      <c r="I59" s="559"/>
      <c r="J59" s="560"/>
      <c r="K59" s="561"/>
      <c r="L59" s="562"/>
      <c r="M59" s="563"/>
      <c r="N59" s="564"/>
      <c r="O59" s="565"/>
      <c r="P59" s="556"/>
      <c r="Q59" s="556">
        <f t="shared" si="6"/>
        <v>0</v>
      </c>
      <c r="R59" s="556"/>
      <c r="S59" s="566">
        <f t="shared" si="7"/>
        <v>0</v>
      </c>
    </row>
    <row r="60" spans="1:19" ht="68.25" customHeight="1" x14ac:dyDescent="0.35">
      <c r="A60" s="516"/>
      <c r="B60" s="584" t="s">
        <v>668</v>
      </c>
      <c r="C60" s="568"/>
      <c r="D60" s="530">
        <v>1</v>
      </c>
      <c r="E60" s="356" t="s">
        <v>669</v>
      </c>
      <c r="F60" s="212" t="s">
        <v>670</v>
      </c>
      <c r="G60" s="868">
        <v>142.13999999999999</v>
      </c>
      <c r="H60" s="558"/>
      <c r="I60" s="559"/>
      <c r="J60" s="560"/>
      <c r="K60" s="561"/>
      <c r="L60" s="562"/>
      <c r="M60" s="563"/>
      <c r="N60" s="564"/>
      <c r="O60" s="565"/>
      <c r="P60" s="556"/>
      <c r="Q60" s="556">
        <f t="shared" si="6"/>
        <v>0</v>
      </c>
      <c r="R60" s="556"/>
      <c r="S60" s="566">
        <f t="shared" si="7"/>
        <v>0</v>
      </c>
    </row>
    <row r="61" spans="1:19" ht="68.25" customHeight="1" x14ac:dyDescent="0.35">
      <c r="A61" s="516"/>
      <c r="B61" s="584" t="s">
        <v>671</v>
      </c>
      <c r="C61" s="568"/>
      <c r="D61" s="530">
        <v>1</v>
      </c>
      <c r="E61" s="356" t="s">
        <v>659</v>
      </c>
      <c r="F61" s="212" t="s">
        <v>672</v>
      </c>
      <c r="G61" s="868">
        <v>142.13999999999999</v>
      </c>
      <c r="H61" s="558"/>
      <c r="I61" s="559"/>
      <c r="J61" s="560"/>
      <c r="K61" s="561"/>
      <c r="L61" s="562"/>
      <c r="M61" s="563"/>
      <c r="N61" s="564"/>
      <c r="O61" s="565"/>
      <c r="P61" s="556"/>
      <c r="Q61" s="556">
        <f t="shared" si="6"/>
        <v>0</v>
      </c>
      <c r="R61" s="556"/>
      <c r="S61" s="566">
        <f t="shared" si="7"/>
        <v>0</v>
      </c>
    </row>
    <row r="62" spans="1:19" ht="68.25" customHeight="1" x14ac:dyDescent="0.35">
      <c r="A62" s="516"/>
      <c r="B62" s="584" t="s">
        <v>673</v>
      </c>
      <c r="C62" s="568"/>
      <c r="D62" s="530">
        <v>1</v>
      </c>
      <c r="E62" s="356" t="s">
        <v>674</v>
      </c>
      <c r="F62" s="212" t="s">
        <v>675</v>
      </c>
      <c r="G62" s="868">
        <v>142.13999999999999</v>
      </c>
      <c r="H62" s="558"/>
      <c r="I62" s="559"/>
      <c r="J62" s="560"/>
      <c r="K62" s="561"/>
      <c r="L62" s="562"/>
      <c r="M62" s="563"/>
      <c r="N62" s="564"/>
      <c r="O62" s="565"/>
      <c r="P62" s="556"/>
      <c r="Q62" s="556">
        <f t="shared" si="6"/>
        <v>0</v>
      </c>
      <c r="R62" s="556"/>
      <c r="S62" s="566">
        <f t="shared" si="7"/>
        <v>0</v>
      </c>
    </row>
    <row r="63" spans="1:19" ht="68.25" customHeight="1" x14ac:dyDescent="0.35">
      <c r="A63" s="516"/>
      <c r="B63" s="584" t="s">
        <v>676</v>
      </c>
      <c r="C63" s="568"/>
      <c r="D63" s="530">
        <v>1</v>
      </c>
      <c r="E63" s="356" t="s">
        <v>674</v>
      </c>
      <c r="F63" s="212" t="s">
        <v>677</v>
      </c>
      <c r="G63" s="868">
        <v>142.13999999999999</v>
      </c>
      <c r="H63" s="558"/>
      <c r="I63" s="559"/>
      <c r="J63" s="560"/>
      <c r="K63" s="561"/>
      <c r="L63" s="562"/>
      <c r="M63" s="563"/>
      <c r="N63" s="564"/>
      <c r="O63" s="565"/>
      <c r="P63" s="556"/>
      <c r="Q63" s="556">
        <f t="shared" si="6"/>
        <v>0</v>
      </c>
      <c r="R63" s="556"/>
      <c r="S63" s="566">
        <f t="shared" si="7"/>
        <v>0</v>
      </c>
    </row>
    <row r="64" spans="1:19" ht="68.25" customHeight="1" x14ac:dyDescent="0.35">
      <c r="A64" s="516"/>
      <c r="B64" s="584" t="s">
        <v>678</v>
      </c>
      <c r="C64" s="568"/>
      <c r="D64" s="530">
        <v>1</v>
      </c>
      <c r="E64" s="356" t="s">
        <v>679</v>
      </c>
      <c r="F64" s="212" t="s">
        <v>680</v>
      </c>
      <c r="G64" s="868">
        <v>142.13999999999999</v>
      </c>
      <c r="H64" s="558"/>
      <c r="I64" s="559"/>
      <c r="J64" s="560"/>
      <c r="K64" s="561"/>
      <c r="L64" s="562"/>
      <c r="M64" s="563"/>
      <c r="N64" s="564"/>
      <c r="O64" s="565"/>
      <c r="P64" s="556"/>
      <c r="Q64" s="556">
        <f t="shared" si="6"/>
        <v>0</v>
      </c>
      <c r="R64" s="556"/>
      <c r="S64" s="566">
        <f t="shared" si="7"/>
        <v>0</v>
      </c>
    </row>
    <row r="65" spans="1:19" ht="68.25" customHeight="1" x14ac:dyDescent="0.35">
      <c r="A65" s="516"/>
      <c r="B65" s="584" t="s">
        <v>681</v>
      </c>
      <c r="C65" s="568"/>
      <c r="D65" s="530">
        <v>1</v>
      </c>
      <c r="E65" s="356" t="s">
        <v>679</v>
      </c>
      <c r="F65" s="212" t="s">
        <v>682</v>
      </c>
      <c r="G65" s="868">
        <v>142.13999999999999</v>
      </c>
      <c r="H65" s="558"/>
      <c r="I65" s="559"/>
      <c r="J65" s="560"/>
      <c r="K65" s="561"/>
      <c r="L65" s="562"/>
      <c r="M65" s="563"/>
      <c r="N65" s="564"/>
      <c r="O65" s="565"/>
      <c r="P65" s="556"/>
      <c r="Q65" s="556">
        <f t="shared" si="6"/>
        <v>0</v>
      </c>
      <c r="R65" s="556"/>
      <c r="S65" s="566">
        <f t="shared" si="7"/>
        <v>0</v>
      </c>
    </row>
    <row r="66" spans="1:19" ht="68.25" customHeight="1" x14ac:dyDescent="0.35">
      <c r="A66" s="516"/>
      <c r="B66" s="584" t="s">
        <v>683</v>
      </c>
      <c r="C66" s="568"/>
      <c r="D66" s="530">
        <v>1</v>
      </c>
      <c r="E66" s="356" t="s">
        <v>684</v>
      </c>
      <c r="F66" s="212" t="s">
        <v>981</v>
      </c>
      <c r="G66" s="868">
        <v>142.13999999999999</v>
      </c>
      <c r="H66" s="558"/>
      <c r="I66" s="559"/>
      <c r="J66" s="560"/>
      <c r="K66" s="561"/>
      <c r="L66" s="562"/>
      <c r="M66" s="563"/>
      <c r="N66" s="564"/>
      <c r="O66" s="565"/>
      <c r="P66" s="556"/>
      <c r="Q66" s="556">
        <f t="shared" si="6"/>
        <v>0</v>
      </c>
      <c r="R66" s="556"/>
      <c r="S66" s="566">
        <f t="shared" si="7"/>
        <v>0</v>
      </c>
    </row>
    <row r="67" spans="1:19" ht="68.25" customHeight="1" x14ac:dyDescent="0.35">
      <c r="A67" s="516"/>
      <c r="B67" s="584" t="s">
        <v>685</v>
      </c>
      <c r="C67" s="568"/>
      <c r="D67" s="530">
        <v>1</v>
      </c>
      <c r="E67" s="356" t="s">
        <v>684</v>
      </c>
      <c r="F67" s="212" t="s">
        <v>686</v>
      </c>
      <c r="G67" s="868">
        <v>142.13999999999999</v>
      </c>
      <c r="H67" s="558"/>
      <c r="I67" s="559"/>
      <c r="J67" s="560"/>
      <c r="K67" s="561"/>
      <c r="L67" s="562"/>
      <c r="M67" s="563"/>
      <c r="N67" s="564"/>
      <c r="O67" s="565"/>
      <c r="P67" s="556"/>
      <c r="Q67" s="556">
        <f t="shared" si="6"/>
        <v>0</v>
      </c>
      <c r="R67" s="556"/>
      <c r="S67" s="566">
        <f t="shared" si="7"/>
        <v>0</v>
      </c>
    </row>
    <row r="68" spans="1:19" ht="68.25" customHeight="1" x14ac:dyDescent="0.35">
      <c r="A68" s="516"/>
      <c r="B68" s="584" t="s">
        <v>687</v>
      </c>
      <c r="C68" s="568"/>
      <c r="D68" s="530">
        <v>1</v>
      </c>
      <c r="E68" s="356" t="s">
        <v>684</v>
      </c>
      <c r="F68" s="212" t="s">
        <v>688</v>
      </c>
      <c r="G68" s="868">
        <v>142.13999999999999</v>
      </c>
      <c r="H68" s="558"/>
      <c r="I68" s="559"/>
      <c r="J68" s="560"/>
      <c r="K68" s="561"/>
      <c r="L68" s="562"/>
      <c r="M68" s="563"/>
      <c r="N68" s="564"/>
      <c r="O68" s="565"/>
      <c r="P68" s="556"/>
      <c r="Q68" s="556">
        <f t="shared" si="6"/>
        <v>0</v>
      </c>
      <c r="R68" s="556"/>
      <c r="S68" s="566">
        <f t="shared" si="7"/>
        <v>0</v>
      </c>
    </row>
    <row r="69" spans="1:19" ht="24.75" customHeight="1" x14ac:dyDescent="0.35">
      <c r="A69" s="516"/>
    </row>
    <row r="70" spans="1:19" ht="24.75" customHeight="1" x14ac:dyDescent="0.35">
      <c r="A70" s="516"/>
      <c r="G70" s="864"/>
      <c r="H70" s="589">
        <f t="shared" ref="H70:S70" si="8">SUM(H6:H68)</f>
        <v>0</v>
      </c>
      <c r="I70" s="589">
        <f t="shared" si="8"/>
        <v>0</v>
      </c>
      <c r="J70" s="589">
        <f t="shared" si="8"/>
        <v>0</v>
      </c>
      <c r="K70" s="589">
        <f t="shared" si="8"/>
        <v>0</v>
      </c>
      <c r="L70" s="589">
        <f t="shared" si="8"/>
        <v>0</v>
      </c>
      <c r="M70" s="589">
        <f t="shared" si="8"/>
        <v>0</v>
      </c>
      <c r="N70" s="589">
        <f t="shared" si="8"/>
        <v>0</v>
      </c>
      <c r="O70" s="589">
        <f t="shared" si="8"/>
        <v>0</v>
      </c>
      <c r="P70" s="589">
        <f t="shared" si="8"/>
        <v>0</v>
      </c>
      <c r="Q70" s="589">
        <f t="shared" si="8"/>
        <v>0</v>
      </c>
      <c r="R70" s="589">
        <f t="shared" si="8"/>
        <v>0</v>
      </c>
      <c r="S70" s="590">
        <f t="shared" si="8"/>
        <v>0</v>
      </c>
    </row>
    <row r="71" spans="1:19" ht="15.75" customHeight="1" x14ac:dyDescent="0.35">
      <c r="A71" s="516"/>
      <c r="G71" s="864"/>
    </row>
    <row r="72" spans="1:19" ht="15.75" customHeight="1" x14ac:dyDescent="0.35">
      <c r="A72" s="516"/>
      <c r="G72" s="864"/>
    </row>
    <row r="73" spans="1:19" ht="15.75" customHeight="1" x14ac:dyDescent="0.35">
      <c r="A73" s="516"/>
      <c r="G73" s="864"/>
    </row>
    <row r="74" spans="1:19" ht="15.75" customHeight="1" x14ac:dyDescent="0.35">
      <c r="A74" s="516"/>
      <c r="G74" s="864"/>
    </row>
    <row r="75" spans="1:19" ht="15.75" customHeight="1" x14ac:dyDescent="0.35">
      <c r="A75" s="516"/>
      <c r="G75" s="864"/>
    </row>
    <row r="76" spans="1:19" ht="15.75" customHeight="1" x14ac:dyDescent="0.35">
      <c r="A76" s="516"/>
      <c r="G76" s="864"/>
    </row>
    <row r="77" spans="1:19" ht="15.75" customHeight="1" x14ac:dyDescent="0.35">
      <c r="A77" s="516"/>
      <c r="G77" s="864"/>
    </row>
    <row r="78" spans="1:19" ht="15.75" customHeight="1" x14ac:dyDescent="0.35">
      <c r="A78" s="516"/>
      <c r="G78" s="864"/>
    </row>
    <row r="79" spans="1:19" ht="15.75" customHeight="1" x14ac:dyDescent="0.35">
      <c r="A79" s="516"/>
      <c r="G79" s="864"/>
    </row>
    <row r="80" spans="1:19" ht="15.75" customHeight="1" x14ac:dyDescent="0.35">
      <c r="A80" s="516"/>
      <c r="G80" s="864"/>
    </row>
    <row r="81" spans="7:7" ht="15.75" customHeight="1" x14ac:dyDescent="0.35">
      <c r="G81" s="864"/>
    </row>
    <row r="82" spans="7:7" ht="15.75" customHeight="1" x14ac:dyDescent="0.35">
      <c r="G82" s="864"/>
    </row>
    <row r="83" spans="7:7" ht="15.75" customHeight="1" x14ac:dyDescent="0.35">
      <c r="G83" s="864"/>
    </row>
    <row r="84" spans="7:7" ht="15.75" customHeight="1" x14ac:dyDescent="0.35">
      <c r="G84" s="864"/>
    </row>
    <row r="85" spans="7:7" ht="15.75" customHeight="1" x14ac:dyDescent="0.35">
      <c r="G85" s="864"/>
    </row>
    <row r="86" spans="7:7" ht="15.75" customHeight="1" x14ac:dyDescent="0.35">
      <c r="G86" s="864"/>
    </row>
    <row r="87" spans="7:7" ht="15.75" customHeight="1" x14ac:dyDescent="0.35">
      <c r="G87" s="864"/>
    </row>
    <row r="88" spans="7:7" ht="15.75" customHeight="1" x14ac:dyDescent="0.35">
      <c r="G88" s="864"/>
    </row>
    <row r="89" spans="7:7" ht="15.75" customHeight="1" x14ac:dyDescent="0.35">
      <c r="G89" s="864"/>
    </row>
    <row r="90" spans="7:7" ht="15.75" customHeight="1" x14ac:dyDescent="0.35">
      <c r="G90" s="864"/>
    </row>
    <row r="91" spans="7:7" ht="15.75" customHeight="1" x14ac:dyDescent="0.35">
      <c r="G91" s="864"/>
    </row>
    <row r="92" spans="7:7" ht="15.75" customHeight="1" x14ac:dyDescent="0.35">
      <c r="G92" s="864"/>
    </row>
    <row r="93" spans="7:7" ht="15.75" customHeight="1" x14ac:dyDescent="0.35">
      <c r="G93" s="864"/>
    </row>
    <row r="94" spans="7:7" ht="15.75" customHeight="1" x14ac:dyDescent="0.35">
      <c r="G94" s="864"/>
    </row>
    <row r="95" spans="7:7" ht="15.75" customHeight="1" x14ac:dyDescent="0.35">
      <c r="G95" s="864"/>
    </row>
    <row r="96" spans="7:7" ht="15.75" customHeight="1" x14ac:dyDescent="0.35">
      <c r="G96" s="864"/>
    </row>
    <row r="97" spans="7:7" ht="15.75" customHeight="1" x14ac:dyDescent="0.35">
      <c r="G97" s="864"/>
    </row>
    <row r="98" spans="7:7" ht="15.75" customHeight="1" x14ac:dyDescent="0.35">
      <c r="G98" s="864"/>
    </row>
    <row r="99" spans="7:7" ht="15.75" customHeight="1" x14ac:dyDescent="0.35">
      <c r="G99" s="864"/>
    </row>
    <row r="100" spans="7:7" ht="15.75" customHeight="1" x14ac:dyDescent="0.35">
      <c r="G100" s="864"/>
    </row>
    <row r="101" spans="7:7" ht="15.75" customHeight="1" x14ac:dyDescent="0.35">
      <c r="G101" s="864"/>
    </row>
    <row r="102" spans="7:7" ht="15.75" customHeight="1" x14ac:dyDescent="0.35">
      <c r="G102" s="864"/>
    </row>
    <row r="103" spans="7:7" ht="15.75" customHeight="1" x14ac:dyDescent="0.35">
      <c r="G103" s="864"/>
    </row>
    <row r="104" spans="7:7" ht="15.75" customHeight="1" x14ac:dyDescent="0.35">
      <c r="G104" s="864"/>
    </row>
    <row r="105" spans="7:7" ht="15.75" customHeight="1" x14ac:dyDescent="0.35">
      <c r="G105" s="864"/>
    </row>
    <row r="106" spans="7:7" ht="15.75" customHeight="1" x14ac:dyDescent="0.35">
      <c r="G106" s="864"/>
    </row>
    <row r="107" spans="7:7" ht="15.75" customHeight="1" x14ac:dyDescent="0.35">
      <c r="G107" s="864"/>
    </row>
    <row r="108" spans="7:7" ht="15.75" customHeight="1" x14ac:dyDescent="0.35">
      <c r="G108" s="864"/>
    </row>
    <row r="109" spans="7:7" ht="15.75" customHeight="1" x14ac:dyDescent="0.35">
      <c r="G109" s="864"/>
    </row>
    <row r="110" spans="7:7" ht="15.75" customHeight="1" x14ac:dyDescent="0.35">
      <c r="G110" s="864"/>
    </row>
    <row r="111" spans="7:7" ht="15.75" customHeight="1" x14ac:dyDescent="0.35">
      <c r="G111" s="864"/>
    </row>
    <row r="112" spans="7:7" ht="15.75" customHeight="1" x14ac:dyDescent="0.35">
      <c r="G112" s="864"/>
    </row>
    <row r="113" spans="7:7" ht="15.75" customHeight="1" x14ac:dyDescent="0.35">
      <c r="G113" s="864"/>
    </row>
    <row r="114" spans="7:7" ht="15.75" customHeight="1" x14ac:dyDescent="0.35">
      <c r="G114" s="864"/>
    </row>
    <row r="115" spans="7:7" ht="15.75" customHeight="1" x14ac:dyDescent="0.35">
      <c r="G115" s="864"/>
    </row>
    <row r="116" spans="7:7" ht="15.75" customHeight="1" x14ac:dyDescent="0.35">
      <c r="G116" s="864"/>
    </row>
    <row r="117" spans="7:7" ht="15.75" customHeight="1" x14ac:dyDescent="0.35">
      <c r="G117" s="864"/>
    </row>
    <row r="118" spans="7:7" ht="15.75" customHeight="1" x14ac:dyDescent="0.35">
      <c r="G118" s="864"/>
    </row>
    <row r="119" spans="7:7" ht="15.75" customHeight="1" x14ac:dyDescent="0.35">
      <c r="G119" s="864"/>
    </row>
    <row r="120" spans="7:7" ht="15.75" customHeight="1" x14ac:dyDescent="0.35">
      <c r="G120" s="864"/>
    </row>
    <row r="121" spans="7:7" ht="15.75" customHeight="1" x14ac:dyDescent="0.35">
      <c r="G121" s="864"/>
    </row>
    <row r="122" spans="7:7" ht="15.75" customHeight="1" x14ac:dyDescent="0.35">
      <c r="G122" s="864"/>
    </row>
    <row r="123" spans="7:7" ht="15.75" customHeight="1" x14ac:dyDescent="0.35">
      <c r="G123" s="864"/>
    </row>
    <row r="124" spans="7:7" ht="15.75" customHeight="1" x14ac:dyDescent="0.35">
      <c r="G124" s="864"/>
    </row>
    <row r="125" spans="7:7" ht="15.75" customHeight="1" x14ac:dyDescent="0.35">
      <c r="G125" s="864"/>
    </row>
    <row r="126" spans="7:7" ht="15.75" customHeight="1" x14ac:dyDescent="0.35">
      <c r="G126" s="864"/>
    </row>
    <row r="127" spans="7:7" ht="15.75" customHeight="1" x14ac:dyDescent="0.35">
      <c r="G127" s="864"/>
    </row>
    <row r="128" spans="7:7" ht="15.75" customHeight="1" x14ac:dyDescent="0.35">
      <c r="G128" s="864"/>
    </row>
    <row r="129" spans="7:7" ht="15.75" customHeight="1" x14ac:dyDescent="0.35">
      <c r="G129" s="864"/>
    </row>
    <row r="130" spans="7:7" ht="15.75" customHeight="1" x14ac:dyDescent="0.35">
      <c r="G130" s="864"/>
    </row>
    <row r="131" spans="7:7" ht="15.75" customHeight="1" x14ac:dyDescent="0.35">
      <c r="G131" s="864"/>
    </row>
    <row r="132" spans="7:7" ht="15.75" customHeight="1" x14ac:dyDescent="0.35">
      <c r="G132" s="864"/>
    </row>
    <row r="133" spans="7:7" ht="15.75" customHeight="1" x14ac:dyDescent="0.35">
      <c r="G133" s="864"/>
    </row>
    <row r="134" spans="7:7" ht="15.75" customHeight="1" x14ac:dyDescent="0.35">
      <c r="G134" s="864"/>
    </row>
    <row r="135" spans="7:7" ht="15.75" customHeight="1" x14ac:dyDescent="0.35">
      <c r="G135" s="864"/>
    </row>
    <row r="136" spans="7:7" ht="15.75" customHeight="1" x14ac:dyDescent="0.35">
      <c r="G136" s="864"/>
    </row>
    <row r="137" spans="7:7" ht="15.75" customHeight="1" x14ac:dyDescent="0.35">
      <c r="G137" s="864"/>
    </row>
    <row r="138" spans="7:7" ht="15.75" customHeight="1" x14ac:dyDescent="0.35">
      <c r="G138" s="864"/>
    </row>
    <row r="139" spans="7:7" ht="15.75" customHeight="1" x14ac:dyDescent="0.35">
      <c r="G139" s="864"/>
    </row>
    <row r="140" spans="7:7" ht="15.75" customHeight="1" x14ac:dyDescent="0.35">
      <c r="G140" s="864"/>
    </row>
    <row r="141" spans="7:7" ht="15.75" customHeight="1" x14ac:dyDescent="0.35">
      <c r="G141" s="864"/>
    </row>
    <row r="142" spans="7:7" ht="15.75" customHeight="1" x14ac:dyDescent="0.35">
      <c r="G142" s="864"/>
    </row>
    <row r="143" spans="7:7" ht="15.75" customHeight="1" x14ac:dyDescent="0.35">
      <c r="G143" s="864"/>
    </row>
    <row r="144" spans="7:7" ht="15.75" customHeight="1" x14ac:dyDescent="0.35">
      <c r="G144" s="864"/>
    </row>
    <row r="145" spans="7:7" ht="15.75" customHeight="1" x14ac:dyDescent="0.35">
      <c r="G145" s="864"/>
    </row>
    <row r="146" spans="7:7" ht="15.75" customHeight="1" x14ac:dyDescent="0.35">
      <c r="G146" s="864"/>
    </row>
    <row r="147" spans="7:7" ht="15.75" customHeight="1" x14ac:dyDescent="0.35">
      <c r="G147" s="864"/>
    </row>
    <row r="148" spans="7:7" ht="15.75" customHeight="1" x14ac:dyDescent="0.35">
      <c r="G148" s="864"/>
    </row>
    <row r="149" spans="7:7" ht="15.75" customHeight="1" x14ac:dyDescent="0.35">
      <c r="G149" s="864"/>
    </row>
    <row r="150" spans="7:7" ht="15.75" customHeight="1" x14ac:dyDescent="0.35">
      <c r="G150" s="864"/>
    </row>
    <row r="151" spans="7:7" ht="15.75" customHeight="1" x14ac:dyDescent="0.35">
      <c r="G151" s="864"/>
    </row>
    <row r="152" spans="7:7" ht="15.75" customHeight="1" x14ac:dyDescent="0.35">
      <c r="G152" s="864"/>
    </row>
    <row r="153" spans="7:7" ht="15.75" customHeight="1" x14ac:dyDescent="0.35">
      <c r="G153" s="864"/>
    </row>
    <row r="154" spans="7:7" ht="15.75" customHeight="1" x14ac:dyDescent="0.35">
      <c r="G154" s="864"/>
    </row>
    <row r="155" spans="7:7" ht="15.75" customHeight="1" x14ac:dyDescent="0.35">
      <c r="G155" s="864"/>
    </row>
    <row r="156" spans="7:7" ht="15.75" customHeight="1" x14ac:dyDescent="0.35">
      <c r="G156" s="864"/>
    </row>
    <row r="157" spans="7:7" ht="15.75" customHeight="1" x14ac:dyDescent="0.35">
      <c r="G157" s="864"/>
    </row>
    <row r="158" spans="7:7" ht="15.75" customHeight="1" x14ac:dyDescent="0.35">
      <c r="G158" s="864"/>
    </row>
    <row r="159" spans="7:7" ht="15.75" customHeight="1" x14ac:dyDescent="0.35">
      <c r="G159" s="864"/>
    </row>
    <row r="160" spans="7:7" ht="15.75" customHeight="1" x14ac:dyDescent="0.35">
      <c r="G160" s="864"/>
    </row>
    <row r="161" spans="7:7" ht="15.75" customHeight="1" x14ac:dyDescent="0.35">
      <c r="G161" s="864"/>
    </row>
    <row r="162" spans="7:7" ht="15.75" customHeight="1" x14ac:dyDescent="0.35">
      <c r="G162" s="864"/>
    </row>
    <row r="163" spans="7:7" ht="15.75" customHeight="1" x14ac:dyDescent="0.35">
      <c r="G163" s="864"/>
    </row>
    <row r="164" spans="7:7" ht="15.75" customHeight="1" x14ac:dyDescent="0.35">
      <c r="G164" s="864"/>
    </row>
    <row r="165" spans="7:7" ht="15.75" customHeight="1" x14ac:dyDescent="0.35">
      <c r="G165" s="864"/>
    </row>
    <row r="166" spans="7:7" ht="15.75" customHeight="1" x14ac:dyDescent="0.35">
      <c r="G166" s="864"/>
    </row>
    <row r="167" spans="7:7" ht="15.75" customHeight="1" x14ac:dyDescent="0.35">
      <c r="G167" s="864"/>
    </row>
    <row r="168" spans="7:7" ht="15.75" customHeight="1" x14ac:dyDescent="0.35">
      <c r="G168" s="864"/>
    </row>
    <row r="169" spans="7:7" ht="15.75" customHeight="1" x14ac:dyDescent="0.35">
      <c r="G169" s="864"/>
    </row>
    <row r="170" spans="7:7" ht="15.75" customHeight="1" x14ac:dyDescent="0.35">
      <c r="G170" s="864"/>
    </row>
    <row r="171" spans="7:7" ht="15.75" customHeight="1" x14ac:dyDescent="0.35">
      <c r="G171" s="864"/>
    </row>
    <row r="172" spans="7:7" ht="15.75" customHeight="1" x14ac:dyDescent="0.35">
      <c r="G172" s="864"/>
    </row>
    <row r="173" spans="7:7" ht="15.75" customHeight="1" x14ac:dyDescent="0.35">
      <c r="G173" s="864"/>
    </row>
    <row r="174" spans="7:7" ht="15.75" customHeight="1" x14ac:dyDescent="0.35">
      <c r="G174" s="864"/>
    </row>
    <row r="175" spans="7:7" ht="15.75" customHeight="1" x14ac:dyDescent="0.35">
      <c r="G175" s="864"/>
    </row>
    <row r="176" spans="7:7" ht="15.75" customHeight="1" x14ac:dyDescent="0.35">
      <c r="G176" s="864"/>
    </row>
    <row r="177" spans="7:7" ht="15.75" customHeight="1" x14ac:dyDescent="0.35">
      <c r="G177" s="864"/>
    </row>
    <row r="178" spans="7:7" ht="15.75" customHeight="1" x14ac:dyDescent="0.35">
      <c r="G178" s="864"/>
    </row>
    <row r="179" spans="7:7" ht="15.75" customHeight="1" x14ac:dyDescent="0.35">
      <c r="G179" s="864"/>
    </row>
    <row r="180" spans="7:7" ht="15.75" customHeight="1" x14ac:dyDescent="0.35">
      <c r="G180" s="864"/>
    </row>
    <row r="181" spans="7:7" ht="15.75" customHeight="1" x14ac:dyDescent="0.35">
      <c r="G181" s="864"/>
    </row>
    <row r="182" spans="7:7" ht="15.75" customHeight="1" x14ac:dyDescent="0.35">
      <c r="G182" s="864"/>
    </row>
    <row r="183" spans="7:7" ht="15.75" customHeight="1" x14ac:dyDescent="0.35">
      <c r="G183" s="864"/>
    </row>
    <row r="184" spans="7:7" ht="15.75" customHeight="1" x14ac:dyDescent="0.35">
      <c r="G184" s="864"/>
    </row>
    <row r="185" spans="7:7" ht="15.75" customHeight="1" x14ac:dyDescent="0.35">
      <c r="G185" s="864"/>
    </row>
    <row r="186" spans="7:7" ht="15.75" customHeight="1" x14ac:dyDescent="0.35">
      <c r="G186" s="864"/>
    </row>
    <row r="187" spans="7:7" ht="15.75" customHeight="1" x14ac:dyDescent="0.35">
      <c r="G187" s="864"/>
    </row>
    <row r="188" spans="7:7" ht="15.75" customHeight="1" x14ac:dyDescent="0.35">
      <c r="G188" s="864"/>
    </row>
    <row r="189" spans="7:7" ht="15.75" customHeight="1" x14ac:dyDescent="0.35">
      <c r="G189" s="864"/>
    </row>
    <row r="190" spans="7:7" ht="15.75" customHeight="1" x14ac:dyDescent="0.35">
      <c r="G190" s="864"/>
    </row>
    <row r="191" spans="7:7" ht="15.75" customHeight="1" x14ac:dyDescent="0.35">
      <c r="G191" s="864"/>
    </row>
    <row r="192" spans="7:7" ht="15.75" customHeight="1" x14ac:dyDescent="0.35">
      <c r="G192" s="864"/>
    </row>
    <row r="193" spans="7:7" ht="15.75" customHeight="1" x14ac:dyDescent="0.35">
      <c r="G193" s="864"/>
    </row>
    <row r="194" spans="7:7" ht="15.75" customHeight="1" x14ac:dyDescent="0.35">
      <c r="G194" s="864"/>
    </row>
    <row r="195" spans="7:7" ht="15.75" customHeight="1" x14ac:dyDescent="0.35">
      <c r="G195" s="864"/>
    </row>
    <row r="196" spans="7:7" ht="15.75" customHeight="1" x14ac:dyDescent="0.35">
      <c r="G196" s="864"/>
    </row>
    <row r="197" spans="7:7" ht="15.75" customHeight="1" x14ac:dyDescent="0.35">
      <c r="G197" s="864"/>
    </row>
    <row r="198" spans="7:7" ht="15.75" customHeight="1" x14ac:dyDescent="0.35">
      <c r="G198" s="864"/>
    </row>
    <row r="199" spans="7:7" ht="15.75" customHeight="1" x14ac:dyDescent="0.35">
      <c r="G199" s="864"/>
    </row>
    <row r="200" spans="7:7" ht="15.75" customHeight="1" x14ac:dyDescent="0.35">
      <c r="G200" s="864"/>
    </row>
    <row r="201" spans="7:7" ht="15.75" customHeight="1" x14ac:dyDescent="0.35">
      <c r="G201" s="864"/>
    </row>
    <row r="202" spans="7:7" ht="15.75" customHeight="1" x14ac:dyDescent="0.35">
      <c r="G202" s="864"/>
    </row>
    <row r="203" spans="7:7" ht="15.75" customHeight="1" x14ac:dyDescent="0.35">
      <c r="G203" s="864"/>
    </row>
    <row r="204" spans="7:7" ht="15.75" customHeight="1" x14ac:dyDescent="0.35">
      <c r="G204" s="864"/>
    </row>
    <row r="205" spans="7:7" ht="15.75" customHeight="1" x14ac:dyDescent="0.35">
      <c r="G205" s="864"/>
    </row>
    <row r="206" spans="7:7" ht="15.75" customHeight="1" x14ac:dyDescent="0.35">
      <c r="G206" s="864"/>
    </row>
    <row r="207" spans="7:7" ht="15.75" customHeight="1" x14ac:dyDescent="0.35">
      <c r="G207" s="864"/>
    </row>
    <row r="208" spans="7:7" ht="15.75" customHeight="1" x14ac:dyDescent="0.35">
      <c r="G208" s="864"/>
    </row>
    <row r="209" spans="7:7" ht="15.75" customHeight="1" x14ac:dyDescent="0.35">
      <c r="G209" s="864"/>
    </row>
    <row r="210" spans="7:7" ht="15.75" customHeight="1" x14ac:dyDescent="0.35">
      <c r="G210" s="864"/>
    </row>
    <row r="211" spans="7:7" ht="15.75" customHeight="1" x14ac:dyDescent="0.35">
      <c r="G211" s="864"/>
    </row>
    <row r="212" spans="7:7" ht="15.75" customHeight="1" x14ac:dyDescent="0.35">
      <c r="G212" s="864"/>
    </row>
    <row r="213" spans="7:7" ht="15.75" customHeight="1" x14ac:dyDescent="0.35">
      <c r="G213" s="864"/>
    </row>
    <row r="214" spans="7:7" ht="15.75" customHeight="1" x14ac:dyDescent="0.35">
      <c r="G214" s="864"/>
    </row>
    <row r="215" spans="7:7" ht="15.75" customHeight="1" x14ac:dyDescent="0.35">
      <c r="G215" s="864"/>
    </row>
    <row r="216" spans="7:7" ht="15.75" customHeight="1" x14ac:dyDescent="0.35">
      <c r="G216" s="864"/>
    </row>
    <row r="217" spans="7:7" ht="15.75" customHeight="1" x14ac:dyDescent="0.35">
      <c r="G217" s="864"/>
    </row>
    <row r="218" spans="7:7" ht="15.75" customHeight="1" x14ac:dyDescent="0.35">
      <c r="G218" s="864"/>
    </row>
    <row r="219" spans="7:7" ht="15.75" customHeight="1" x14ac:dyDescent="0.35">
      <c r="G219" s="864"/>
    </row>
    <row r="220" spans="7:7" ht="15.75" customHeight="1" x14ac:dyDescent="0.35">
      <c r="G220" s="864"/>
    </row>
    <row r="221" spans="7:7" ht="15.75" customHeight="1" x14ac:dyDescent="0.35">
      <c r="G221" s="864"/>
    </row>
    <row r="222" spans="7:7" ht="15.75" customHeight="1" x14ac:dyDescent="0.35">
      <c r="G222" s="864"/>
    </row>
    <row r="223" spans="7:7" ht="15.75" customHeight="1" x14ac:dyDescent="0.35">
      <c r="G223" s="864"/>
    </row>
    <row r="224" spans="7:7" ht="15.75" customHeight="1" x14ac:dyDescent="0.35">
      <c r="G224" s="864"/>
    </row>
    <row r="225" spans="7:7" ht="15.75" customHeight="1" x14ac:dyDescent="0.35">
      <c r="G225" s="864"/>
    </row>
    <row r="226" spans="7:7" ht="15.75" customHeight="1" x14ac:dyDescent="0.35">
      <c r="G226" s="864"/>
    </row>
    <row r="227" spans="7:7" ht="15.75" customHeight="1" x14ac:dyDescent="0.35">
      <c r="G227" s="864"/>
    </row>
    <row r="228" spans="7:7" ht="15.75" customHeight="1" x14ac:dyDescent="0.35">
      <c r="G228" s="864"/>
    </row>
    <row r="229" spans="7:7" ht="15.75" customHeight="1" x14ac:dyDescent="0.35">
      <c r="G229" s="864"/>
    </row>
    <row r="230" spans="7:7" ht="15.75" customHeight="1" x14ac:dyDescent="0.35">
      <c r="G230" s="864"/>
    </row>
    <row r="231" spans="7:7" ht="15.75" customHeight="1" x14ac:dyDescent="0.35">
      <c r="G231" s="864"/>
    </row>
    <row r="232" spans="7:7" ht="15.75" customHeight="1" x14ac:dyDescent="0.35">
      <c r="G232" s="864"/>
    </row>
    <row r="233" spans="7:7" ht="15.75" customHeight="1" x14ac:dyDescent="0.35">
      <c r="G233" s="864"/>
    </row>
    <row r="234" spans="7:7" ht="15.75" customHeight="1" x14ac:dyDescent="0.35">
      <c r="G234" s="864"/>
    </row>
    <row r="235" spans="7:7" ht="15.75" customHeight="1" x14ac:dyDescent="0.35">
      <c r="G235" s="864"/>
    </row>
    <row r="236" spans="7:7" ht="15.75" customHeight="1" x14ac:dyDescent="0.35">
      <c r="G236" s="864"/>
    </row>
    <row r="237" spans="7:7" ht="15.75" customHeight="1" x14ac:dyDescent="0.35">
      <c r="G237" s="864"/>
    </row>
    <row r="238" spans="7:7" ht="15.75" customHeight="1" x14ac:dyDescent="0.35">
      <c r="G238" s="864"/>
    </row>
    <row r="239" spans="7:7" ht="15.75" customHeight="1" x14ac:dyDescent="0.35">
      <c r="G239" s="864"/>
    </row>
    <row r="240" spans="7:7" ht="15.75" customHeight="1" x14ac:dyDescent="0.35">
      <c r="G240" s="864"/>
    </row>
    <row r="241" spans="7:7" ht="15.75" customHeight="1" x14ac:dyDescent="0.35">
      <c r="G241" s="864"/>
    </row>
    <row r="242" spans="7:7" ht="15.75" customHeight="1" x14ac:dyDescent="0.35">
      <c r="G242" s="864"/>
    </row>
    <row r="243" spans="7:7" ht="15.75" customHeight="1" x14ac:dyDescent="0.35">
      <c r="G243" s="864"/>
    </row>
    <row r="244" spans="7:7" ht="15.75" customHeight="1" x14ac:dyDescent="0.35">
      <c r="G244" s="864"/>
    </row>
    <row r="245" spans="7:7" ht="15.75" customHeight="1" x14ac:dyDescent="0.35">
      <c r="G245" s="864"/>
    </row>
    <row r="246" spans="7:7" ht="15.75" customHeight="1" x14ac:dyDescent="0.35">
      <c r="G246" s="864"/>
    </row>
    <row r="247" spans="7:7" ht="15.75" customHeight="1" x14ac:dyDescent="0.35">
      <c r="G247" s="864"/>
    </row>
    <row r="248" spans="7:7" ht="15.75" customHeight="1" x14ac:dyDescent="0.35">
      <c r="G248" s="864"/>
    </row>
    <row r="249" spans="7:7" ht="15.75" customHeight="1" x14ac:dyDescent="0.35">
      <c r="G249" s="864"/>
    </row>
    <row r="250" spans="7:7" ht="15.75" customHeight="1" x14ac:dyDescent="0.35">
      <c r="G250" s="864"/>
    </row>
    <row r="251" spans="7:7" ht="15.75" customHeight="1" x14ac:dyDescent="0.35">
      <c r="G251" s="864"/>
    </row>
    <row r="252" spans="7:7" ht="15.75" customHeight="1" x14ac:dyDescent="0.35">
      <c r="G252" s="864"/>
    </row>
    <row r="253" spans="7:7" ht="15.75" customHeight="1" x14ac:dyDescent="0.35">
      <c r="G253" s="864"/>
    </row>
    <row r="254" spans="7:7" ht="15.75" customHeight="1" x14ac:dyDescent="0.35">
      <c r="G254" s="864"/>
    </row>
    <row r="255" spans="7:7" ht="15.75" customHeight="1" x14ac:dyDescent="0.35">
      <c r="G255" s="864"/>
    </row>
    <row r="256" spans="7:7" ht="15.75" customHeight="1" x14ac:dyDescent="0.35">
      <c r="G256" s="864"/>
    </row>
    <row r="257" spans="7:7" ht="15.75" customHeight="1" x14ac:dyDescent="0.35">
      <c r="G257" s="864"/>
    </row>
    <row r="258" spans="7:7" ht="15.75" customHeight="1" x14ac:dyDescent="0.35">
      <c r="G258" s="864"/>
    </row>
    <row r="259" spans="7:7" ht="15.75" customHeight="1" x14ac:dyDescent="0.35">
      <c r="G259" s="864"/>
    </row>
    <row r="260" spans="7:7" ht="15.75" customHeight="1" x14ac:dyDescent="0.35">
      <c r="G260" s="864"/>
    </row>
    <row r="261" spans="7:7" ht="15.75" customHeight="1" x14ac:dyDescent="0.35">
      <c r="G261" s="864"/>
    </row>
    <row r="262" spans="7:7" ht="15.75" customHeight="1" x14ac:dyDescent="0.35">
      <c r="G262" s="864"/>
    </row>
    <row r="263" spans="7:7" ht="15.75" customHeight="1" x14ac:dyDescent="0.35">
      <c r="G263" s="864"/>
    </row>
    <row r="264" spans="7:7" ht="15.75" customHeight="1" x14ac:dyDescent="0.35">
      <c r="G264" s="864"/>
    </row>
    <row r="265" spans="7:7" ht="15.75" customHeight="1" x14ac:dyDescent="0.35">
      <c r="G265" s="864"/>
    </row>
    <row r="266" spans="7:7" ht="15.75" customHeight="1" x14ac:dyDescent="0.35">
      <c r="G266" s="864"/>
    </row>
    <row r="267" spans="7:7" ht="15.75" customHeight="1" x14ac:dyDescent="0.35">
      <c r="G267" s="864"/>
    </row>
    <row r="268" spans="7:7" ht="15.75" customHeight="1" x14ac:dyDescent="0.35">
      <c r="G268" s="864"/>
    </row>
    <row r="269" spans="7:7" ht="15.75" customHeight="1" x14ac:dyDescent="0.35">
      <c r="G269" s="864"/>
    </row>
    <row r="270" spans="7:7" ht="15.75" customHeight="1" x14ac:dyDescent="0.35">
      <c r="G270" s="864"/>
    </row>
    <row r="271" spans="7:7" ht="15.75" customHeight="1" x14ac:dyDescent="0.35"/>
    <row r="272" spans="7:7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</sheetData>
  <mergeCells count="11">
    <mergeCell ref="B31:C31"/>
    <mergeCell ref="E31:F31"/>
    <mergeCell ref="B53:C53"/>
    <mergeCell ref="E53:F53"/>
    <mergeCell ref="B2:S2"/>
    <mergeCell ref="B6:C6"/>
    <mergeCell ref="E6:F6"/>
    <mergeCell ref="C7:C10"/>
    <mergeCell ref="C11:C14"/>
    <mergeCell ref="B16:C16"/>
    <mergeCell ref="E16:F16"/>
  </mergeCells>
  <pageMargins left="0.7" right="0.7" top="0.75" bottom="0.75" header="0" footer="0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/>
  </sheetPr>
  <dimension ref="B1:W1008"/>
  <sheetViews>
    <sheetView workbookViewId="0">
      <selection activeCell="N42" sqref="N42"/>
    </sheetView>
  </sheetViews>
  <sheetFormatPr defaultColWidth="14.453125" defaultRowHeight="15" customHeight="1" x14ac:dyDescent="0.35"/>
  <cols>
    <col min="1" max="1" width="9.1796875" customWidth="1"/>
    <col min="3" max="3" width="16.453125" customWidth="1"/>
    <col min="4" max="4" width="9.1796875" customWidth="1"/>
    <col min="5" max="5" width="10.1796875" customWidth="1"/>
    <col min="6" max="6" width="11.453125" customWidth="1"/>
    <col min="7" max="7" width="14.453125" style="869" customWidth="1"/>
    <col min="8" max="12" width="12.81640625" customWidth="1"/>
    <col min="13" max="13" width="16.453125" style="869" customWidth="1"/>
    <col min="14" max="19" width="12.81640625" customWidth="1"/>
    <col min="20" max="20" width="9" customWidth="1"/>
    <col min="21" max="21" width="9.1796875" customWidth="1"/>
    <col min="22" max="22" width="12" customWidth="1"/>
    <col min="24" max="24" width="16.453125" customWidth="1"/>
  </cols>
  <sheetData>
    <row r="1" spans="2:22" thickBot="1" x14ac:dyDescent="0.4">
      <c r="G1" s="974"/>
    </row>
    <row r="2" spans="2:22" ht="26.5" thickTop="1" x14ac:dyDescent="0.6">
      <c r="G2" s="1073" t="s">
        <v>689</v>
      </c>
      <c r="H2" s="1065"/>
      <c r="I2" s="1065"/>
      <c r="J2" s="1065"/>
      <c r="K2" s="1065"/>
      <c r="L2" s="1065"/>
      <c r="M2" s="1065"/>
      <c r="N2" s="1065"/>
      <c r="O2" s="1065"/>
      <c r="P2" s="1065"/>
      <c r="Q2" s="1074"/>
      <c r="R2" s="591"/>
    </row>
    <row r="3" spans="2:22" ht="26.5" thickBot="1" x14ac:dyDescent="0.65">
      <c r="G3" s="1075"/>
      <c r="H3" s="1076"/>
      <c r="I3" s="1076"/>
      <c r="J3" s="1076"/>
      <c r="K3" s="1076"/>
      <c r="L3" s="1076"/>
      <c r="M3" s="1076"/>
      <c r="N3" s="1076"/>
      <c r="O3" s="1076"/>
      <c r="P3" s="1076"/>
      <c r="Q3" s="1077"/>
      <c r="R3" s="591"/>
    </row>
    <row r="4" spans="2:22" thickTop="1" x14ac:dyDescent="0.35">
      <c r="G4" s="974"/>
      <c r="L4" s="2"/>
      <c r="M4" s="980"/>
      <c r="N4" s="235"/>
      <c r="O4" s="235"/>
      <c r="P4" s="235"/>
    </row>
    <row r="5" spans="2:22" ht="14.5" x14ac:dyDescent="0.35">
      <c r="B5" s="19" t="s">
        <v>15</v>
      </c>
      <c r="C5" s="263" t="s">
        <v>16</v>
      </c>
      <c r="D5" s="19" t="s">
        <v>17</v>
      </c>
      <c r="E5" s="19" t="s">
        <v>535</v>
      </c>
      <c r="F5" s="19" t="s">
        <v>18</v>
      </c>
      <c r="G5" s="975" t="s">
        <v>690</v>
      </c>
      <c r="H5" s="1078" t="s">
        <v>691</v>
      </c>
      <c r="I5" s="1033"/>
      <c r="J5" s="1033"/>
      <c r="K5" s="1033"/>
      <c r="L5" s="1033"/>
      <c r="M5" s="1033"/>
      <c r="N5" s="1033"/>
      <c r="O5" s="1033"/>
      <c r="P5" s="1033"/>
      <c r="Q5" s="1033"/>
      <c r="R5" s="592" t="s">
        <v>536</v>
      </c>
      <c r="S5" s="593" t="s">
        <v>23</v>
      </c>
    </row>
    <row r="6" spans="2:22" thickBot="1" x14ac:dyDescent="0.4">
      <c r="B6" s="235"/>
      <c r="C6" s="235"/>
      <c r="D6" s="235"/>
      <c r="E6" s="235"/>
      <c r="F6" s="235"/>
      <c r="G6" s="976"/>
      <c r="H6" s="594">
        <v>1018</v>
      </c>
      <c r="I6" s="595">
        <v>3020</v>
      </c>
      <c r="J6" s="596">
        <v>5015</v>
      </c>
      <c r="K6" s="597">
        <v>9005</v>
      </c>
      <c r="L6" s="598" t="s">
        <v>692</v>
      </c>
      <c r="M6" s="981" t="s">
        <v>693</v>
      </c>
      <c r="N6" s="599" t="s">
        <v>694</v>
      </c>
      <c r="O6" s="600">
        <v>4008</v>
      </c>
      <c r="P6" s="601">
        <v>4005</v>
      </c>
      <c r="Q6" s="602" t="s">
        <v>695</v>
      </c>
    </row>
    <row r="7" spans="2:22" ht="19" thickBot="1" x14ac:dyDescent="0.5">
      <c r="H7" s="603"/>
      <c r="I7" s="603"/>
      <c r="J7" s="603"/>
      <c r="K7" s="603"/>
      <c r="L7" s="603"/>
      <c r="M7" s="982"/>
      <c r="N7" s="603"/>
      <c r="O7" s="603"/>
      <c r="P7" s="603"/>
      <c r="Q7" s="603"/>
      <c r="T7" s="603"/>
      <c r="U7" s="604"/>
      <c r="V7" s="605"/>
    </row>
    <row r="8" spans="2:22" ht="38.25" customHeight="1" thickTop="1" thickBot="1" x14ac:dyDescent="0.5">
      <c r="B8" s="1072" t="s">
        <v>696</v>
      </c>
      <c r="C8" s="1056"/>
      <c r="D8" s="606">
        <v>18</v>
      </c>
      <c r="E8" s="606"/>
      <c r="F8" s="973" t="s">
        <v>559</v>
      </c>
      <c r="G8" s="607">
        <v>5053.08</v>
      </c>
      <c r="H8" s="608"/>
      <c r="I8" s="609"/>
      <c r="J8" s="610"/>
      <c r="K8" s="611"/>
      <c r="L8" s="612"/>
      <c r="M8" s="983"/>
      <c r="N8" s="613"/>
      <c r="O8" s="614"/>
      <c r="P8" s="615"/>
      <c r="Q8" s="616"/>
      <c r="R8" s="570">
        <f>SUM(H8:Q8)*D8</f>
        <v>0</v>
      </c>
      <c r="S8" s="617">
        <f>SUM(H8:Q8)*G8</f>
        <v>0</v>
      </c>
      <c r="T8" s="603"/>
      <c r="U8" s="604"/>
      <c r="V8" s="605"/>
    </row>
    <row r="9" spans="2:22" ht="78" customHeight="1" thickTop="1" thickBot="1" x14ac:dyDescent="0.5">
      <c r="B9" s="618" t="s">
        <v>697</v>
      </c>
      <c r="C9" s="3"/>
      <c r="D9" s="619">
        <v>1</v>
      </c>
      <c r="E9" s="3"/>
      <c r="F9" s="618" t="s">
        <v>698</v>
      </c>
      <c r="G9" s="620">
        <v>129.78</v>
      </c>
      <c r="H9" s="207"/>
      <c r="I9" s="22"/>
      <c r="J9" s="23"/>
      <c r="K9" s="24"/>
      <c r="L9" s="621"/>
      <c r="M9" s="984"/>
      <c r="N9" s="622"/>
      <c r="O9" s="28"/>
      <c r="P9" s="623"/>
      <c r="Q9" s="624"/>
      <c r="R9" s="556">
        <f t="shared" ref="R9:R26" si="0">SUM(H9:Q9)</f>
        <v>0</v>
      </c>
      <c r="S9" s="625">
        <f t="shared" ref="S9:S26" si="1">R9*G9</f>
        <v>0</v>
      </c>
      <c r="T9" s="603"/>
      <c r="U9" s="604"/>
      <c r="V9" s="605"/>
    </row>
    <row r="10" spans="2:22" ht="78.75" customHeight="1" thickBot="1" x14ac:dyDescent="0.5">
      <c r="B10" s="626" t="s">
        <v>699</v>
      </c>
      <c r="C10" s="3"/>
      <c r="D10" s="627">
        <v>1</v>
      </c>
      <c r="E10" s="3"/>
      <c r="F10" s="626" t="s">
        <v>700</v>
      </c>
      <c r="G10" s="620">
        <v>129.78</v>
      </c>
      <c r="H10" s="507"/>
      <c r="I10" s="508"/>
      <c r="J10" s="509"/>
      <c r="K10" s="510"/>
      <c r="L10" s="628"/>
      <c r="M10" s="984"/>
      <c r="N10" s="622"/>
      <c r="O10" s="28"/>
      <c r="P10" s="34"/>
      <c r="Q10" s="629"/>
      <c r="R10" s="556">
        <f t="shared" si="0"/>
        <v>0</v>
      </c>
      <c r="S10" s="625">
        <f t="shared" si="1"/>
        <v>0</v>
      </c>
      <c r="T10" s="603"/>
      <c r="U10" s="604"/>
      <c r="V10" s="605"/>
    </row>
    <row r="11" spans="2:22" ht="82.5" customHeight="1" thickBot="1" x14ac:dyDescent="0.5">
      <c r="B11" s="626" t="s">
        <v>701</v>
      </c>
      <c r="C11" s="3"/>
      <c r="D11" s="627">
        <v>1</v>
      </c>
      <c r="E11" s="3"/>
      <c r="F11" s="626" t="s">
        <v>702</v>
      </c>
      <c r="G11" s="620">
        <v>187.46</v>
      </c>
      <c r="H11" s="507"/>
      <c r="I11" s="508"/>
      <c r="J11" s="509"/>
      <c r="K11" s="510"/>
      <c r="L11" s="628"/>
      <c r="M11" s="984"/>
      <c r="N11" s="622"/>
      <c r="O11" s="28"/>
      <c r="P11" s="34"/>
      <c r="Q11" s="629"/>
      <c r="R11" s="556">
        <f t="shared" si="0"/>
        <v>0</v>
      </c>
      <c r="S11" s="625">
        <f t="shared" si="1"/>
        <v>0</v>
      </c>
      <c r="T11" s="603"/>
      <c r="U11" s="604"/>
      <c r="V11" s="605"/>
    </row>
    <row r="12" spans="2:22" ht="78.75" customHeight="1" thickBot="1" x14ac:dyDescent="0.5">
      <c r="B12" s="626" t="s">
        <v>703</v>
      </c>
      <c r="C12" s="3"/>
      <c r="D12" s="627">
        <v>1</v>
      </c>
      <c r="E12" s="3"/>
      <c r="F12" s="626" t="s">
        <v>704</v>
      </c>
      <c r="G12" s="620">
        <v>187.46</v>
      </c>
      <c r="H12" s="507"/>
      <c r="I12" s="508"/>
      <c r="J12" s="509"/>
      <c r="K12" s="510"/>
      <c r="L12" s="628"/>
      <c r="M12" s="984"/>
      <c r="N12" s="622"/>
      <c r="O12" s="28"/>
      <c r="P12" s="34"/>
      <c r="Q12" s="629"/>
      <c r="R12" s="556">
        <f t="shared" si="0"/>
        <v>0</v>
      </c>
      <c r="S12" s="625">
        <f t="shared" si="1"/>
        <v>0</v>
      </c>
      <c r="T12" s="603"/>
      <c r="U12" s="604"/>
      <c r="V12" s="605"/>
    </row>
    <row r="13" spans="2:22" ht="75" customHeight="1" thickBot="1" x14ac:dyDescent="0.5">
      <c r="B13" s="626" t="s">
        <v>705</v>
      </c>
      <c r="C13" s="3"/>
      <c r="D13" s="627">
        <v>1</v>
      </c>
      <c r="E13" s="3"/>
      <c r="F13" s="626" t="s">
        <v>706</v>
      </c>
      <c r="G13" s="620">
        <v>187.46</v>
      </c>
      <c r="H13" s="507"/>
      <c r="I13" s="508"/>
      <c r="J13" s="509"/>
      <c r="K13" s="510"/>
      <c r="L13" s="628"/>
      <c r="M13" s="984"/>
      <c r="N13" s="622"/>
      <c r="O13" s="28"/>
      <c r="P13" s="34"/>
      <c r="Q13" s="629"/>
      <c r="R13" s="556">
        <f t="shared" si="0"/>
        <v>0</v>
      </c>
      <c r="S13" s="625">
        <f t="shared" si="1"/>
        <v>0</v>
      </c>
      <c r="T13" s="603"/>
      <c r="U13" s="604"/>
      <c r="V13" s="605"/>
    </row>
    <row r="14" spans="2:22" ht="75.75" customHeight="1" thickBot="1" x14ac:dyDescent="0.5">
      <c r="B14" s="626" t="s">
        <v>707</v>
      </c>
      <c r="C14" s="3"/>
      <c r="D14" s="627">
        <v>1</v>
      </c>
      <c r="E14" s="3"/>
      <c r="F14" s="626" t="s">
        <v>708</v>
      </c>
      <c r="G14" s="620">
        <v>187.46</v>
      </c>
      <c r="H14" s="507"/>
      <c r="I14" s="508"/>
      <c r="J14" s="509"/>
      <c r="K14" s="510"/>
      <c r="L14" s="628"/>
      <c r="M14" s="984"/>
      <c r="N14" s="622"/>
      <c r="O14" s="28"/>
      <c r="P14" s="34"/>
      <c r="Q14" s="629"/>
      <c r="R14" s="556">
        <f t="shared" si="0"/>
        <v>0</v>
      </c>
      <c r="S14" s="625">
        <f t="shared" si="1"/>
        <v>0</v>
      </c>
      <c r="T14" s="603"/>
      <c r="U14" s="604"/>
      <c r="V14" s="605"/>
    </row>
    <row r="15" spans="2:22" ht="75.75" customHeight="1" thickBot="1" x14ac:dyDescent="0.5">
      <c r="B15" s="626" t="s">
        <v>709</v>
      </c>
      <c r="C15" s="3"/>
      <c r="D15" s="627">
        <v>1</v>
      </c>
      <c r="E15" s="3"/>
      <c r="F15" s="626" t="s">
        <v>710</v>
      </c>
      <c r="G15" s="620">
        <v>303.85000000000002</v>
      </c>
      <c r="H15" s="507"/>
      <c r="I15" s="508"/>
      <c r="J15" s="509"/>
      <c r="K15" s="510"/>
      <c r="L15" s="628"/>
      <c r="M15" s="984"/>
      <c r="N15" s="622"/>
      <c r="O15" s="28"/>
      <c r="P15" s="34"/>
      <c r="Q15" s="629"/>
      <c r="R15" s="556">
        <f t="shared" si="0"/>
        <v>0</v>
      </c>
      <c r="S15" s="625">
        <f t="shared" si="1"/>
        <v>0</v>
      </c>
      <c r="T15" s="603"/>
      <c r="U15" s="604"/>
      <c r="V15" s="605"/>
    </row>
    <row r="16" spans="2:22" ht="75" customHeight="1" thickBot="1" x14ac:dyDescent="0.5">
      <c r="B16" s="626" t="s">
        <v>711</v>
      </c>
      <c r="C16" s="3"/>
      <c r="D16" s="627">
        <v>1</v>
      </c>
      <c r="E16" s="3"/>
      <c r="F16" s="626" t="s">
        <v>712</v>
      </c>
      <c r="G16" s="620">
        <v>303.85000000000002</v>
      </c>
      <c r="H16" s="507"/>
      <c r="I16" s="508"/>
      <c r="J16" s="509"/>
      <c r="K16" s="510"/>
      <c r="L16" s="628"/>
      <c r="M16" s="984"/>
      <c r="N16" s="622"/>
      <c r="O16" s="28"/>
      <c r="P16" s="34"/>
      <c r="Q16" s="629"/>
      <c r="R16" s="556">
        <f t="shared" si="0"/>
        <v>0</v>
      </c>
      <c r="S16" s="625">
        <f t="shared" si="1"/>
        <v>0</v>
      </c>
      <c r="T16" s="603"/>
      <c r="U16" s="604"/>
      <c r="V16" s="605"/>
    </row>
    <row r="17" spans="2:22" ht="77.25" customHeight="1" thickBot="1" x14ac:dyDescent="0.5">
      <c r="B17" s="626" t="s">
        <v>713</v>
      </c>
      <c r="C17" s="3"/>
      <c r="D17" s="627">
        <v>1</v>
      </c>
      <c r="E17" s="3"/>
      <c r="F17" s="626" t="s">
        <v>714</v>
      </c>
      <c r="G17" s="620">
        <v>303.85000000000002</v>
      </c>
      <c r="H17" s="507"/>
      <c r="I17" s="508"/>
      <c r="J17" s="509"/>
      <c r="K17" s="510"/>
      <c r="L17" s="628"/>
      <c r="M17" s="984"/>
      <c r="N17" s="622"/>
      <c r="O17" s="28"/>
      <c r="P17" s="34"/>
      <c r="Q17" s="629"/>
      <c r="R17" s="556">
        <f t="shared" si="0"/>
        <v>0</v>
      </c>
      <c r="S17" s="625">
        <f t="shared" si="1"/>
        <v>0</v>
      </c>
      <c r="T17" s="603"/>
      <c r="U17" s="604"/>
      <c r="V17" s="605"/>
    </row>
    <row r="18" spans="2:22" ht="75.75" customHeight="1" thickBot="1" x14ac:dyDescent="0.5">
      <c r="B18" s="626" t="s">
        <v>715</v>
      </c>
      <c r="C18" s="3"/>
      <c r="D18" s="627">
        <v>1</v>
      </c>
      <c r="E18" s="3"/>
      <c r="F18" s="626" t="s">
        <v>716</v>
      </c>
      <c r="G18" s="620">
        <v>303.85000000000002</v>
      </c>
      <c r="H18" s="507"/>
      <c r="I18" s="508"/>
      <c r="J18" s="509"/>
      <c r="K18" s="510"/>
      <c r="L18" s="628"/>
      <c r="M18" s="984"/>
      <c r="N18" s="622"/>
      <c r="O18" s="28"/>
      <c r="P18" s="34"/>
      <c r="Q18" s="629"/>
      <c r="R18" s="556">
        <f t="shared" si="0"/>
        <v>0</v>
      </c>
      <c r="S18" s="625">
        <f t="shared" si="1"/>
        <v>0</v>
      </c>
      <c r="T18" s="603"/>
      <c r="U18" s="604"/>
      <c r="V18" s="605"/>
    </row>
    <row r="19" spans="2:22" ht="75" customHeight="1" thickBot="1" x14ac:dyDescent="0.5">
      <c r="B19" s="626" t="s">
        <v>717</v>
      </c>
      <c r="C19" s="3"/>
      <c r="D19" s="627">
        <v>1</v>
      </c>
      <c r="E19" s="3"/>
      <c r="F19" s="626" t="s">
        <v>718</v>
      </c>
      <c r="G19" s="620">
        <v>303.85000000000002</v>
      </c>
      <c r="H19" s="507"/>
      <c r="I19" s="508"/>
      <c r="J19" s="509"/>
      <c r="K19" s="510"/>
      <c r="L19" s="628"/>
      <c r="M19" s="984"/>
      <c r="N19" s="622"/>
      <c r="O19" s="28"/>
      <c r="P19" s="34"/>
      <c r="Q19" s="629"/>
      <c r="R19" s="556">
        <f t="shared" si="0"/>
        <v>0</v>
      </c>
      <c r="S19" s="625">
        <f t="shared" si="1"/>
        <v>0</v>
      </c>
      <c r="T19" s="603"/>
      <c r="U19" s="604"/>
      <c r="V19" s="605"/>
    </row>
    <row r="20" spans="2:22" ht="76.5" customHeight="1" thickBot="1" x14ac:dyDescent="0.5">
      <c r="B20" s="626" t="s">
        <v>719</v>
      </c>
      <c r="C20" s="3"/>
      <c r="D20" s="627">
        <v>1</v>
      </c>
      <c r="E20" s="3"/>
      <c r="F20" s="626" t="s">
        <v>720</v>
      </c>
      <c r="G20" s="620">
        <v>409.94</v>
      </c>
      <c r="H20" s="507"/>
      <c r="I20" s="508"/>
      <c r="J20" s="509"/>
      <c r="K20" s="510"/>
      <c r="L20" s="628"/>
      <c r="M20" s="984"/>
      <c r="N20" s="622"/>
      <c r="O20" s="28"/>
      <c r="P20" s="34"/>
      <c r="Q20" s="629"/>
      <c r="R20" s="556">
        <f t="shared" si="0"/>
        <v>0</v>
      </c>
      <c r="S20" s="625">
        <f t="shared" si="1"/>
        <v>0</v>
      </c>
      <c r="T20" s="603"/>
      <c r="U20" s="604"/>
      <c r="V20" s="605"/>
    </row>
    <row r="21" spans="2:22" ht="75.75" customHeight="1" thickBot="1" x14ac:dyDescent="0.5">
      <c r="B21" s="626" t="s">
        <v>721</v>
      </c>
      <c r="C21" s="3"/>
      <c r="D21" s="627">
        <v>1</v>
      </c>
      <c r="E21" s="3"/>
      <c r="F21" s="626" t="s">
        <v>722</v>
      </c>
      <c r="G21" s="620">
        <v>409.94</v>
      </c>
      <c r="H21" s="507"/>
      <c r="I21" s="508"/>
      <c r="J21" s="509"/>
      <c r="K21" s="510"/>
      <c r="L21" s="628"/>
      <c r="M21" s="984"/>
      <c r="N21" s="622"/>
      <c r="O21" s="28"/>
      <c r="P21" s="34"/>
      <c r="Q21" s="629"/>
      <c r="R21" s="556">
        <f t="shared" si="0"/>
        <v>0</v>
      </c>
      <c r="S21" s="625">
        <f t="shared" si="1"/>
        <v>0</v>
      </c>
      <c r="T21" s="603"/>
      <c r="U21" s="604"/>
      <c r="V21" s="605"/>
    </row>
    <row r="22" spans="2:22" ht="75.75" customHeight="1" thickBot="1" x14ac:dyDescent="0.5">
      <c r="B22" s="626" t="s">
        <v>723</v>
      </c>
      <c r="C22" s="3"/>
      <c r="D22" s="627">
        <v>1</v>
      </c>
      <c r="E22" s="3"/>
      <c r="F22" s="626" t="s">
        <v>724</v>
      </c>
      <c r="G22" s="620">
        <v>409.94</v>
      </c>
      <c r="H22" s="507"/>
      <c r="I22" s="508"/>
      <c r="J22" s="509"/>
      <c r="K22" s="510"/>
      <c r="L22" s="628"/>
      <c r="M22" s="984"/>
      <c r="N22" s="622"/>
      <c r="O22" s="28"/>
      <c r="P22" s="34"/>
      <c r="Q22" s="629"/>
      <c r="R22" s="556">
        <f t="shared" si="0"/>
        <v>0</v>
      </c>
      <c r="S22" s="625">
        <f t="shared" si="1"/>
        <v>0</v>
      </c>
      <c r="T22" s="603"/>
      <c r="U22" s="604"/>
      <c r="V22" s="605"/>
    </row>
    <row r="23" spans="2:22" ht="77.25" customHeight="1" thickBot="1" x14ac:dyDescent="0.5">
      <c r="B23" s="626" t="s">
        <v>725</v>
      </c>
      <c r="C23" s="3"/>
      <c r="D23" s="627">
        <v>1</v>
      </c>
      <c r="E23" s="3"/>
      <c r="F23" s="626" t="s">
        <v>726</v>
      </c>
      <c r="G23" s="620">
        <v>409.94</v>
      </c>
      <c r="H23" s="507"/>
      <c r="I23" s="508"/>
      <c r="J23" s="509"/>
      <c r="K23" s="510"/>
      <c r="L23" s="628"/>
      <c r="M23" s="984"/>
      <c r="N23" s="622"/>
      <c r="O23" s="28"/>
      <c r="P23" s="34"/>
      <c r="Q23" s="629"/>
      <c r="R23" s="556">
        <f t="shared" si="0"/>
        <v>0</v>
      </c>
      <c r="S23" s="625">
        <f t="shared" si="1"/>
        <v>0</v>
      </c>
      <c r="T23" s="603"/>
      <c r="U23" s="604"/>
      <c r="V23" s="605"/>
    </row>
    <row r="24" spans="2:22" ht="84" customHeight="1" thickBot="1" x14ac:dyDescent="0.5">
      <c r="B24" s="626" t="s">
        <v>727</v>
      </c>
      <c r="C24" s="3"/>
      <c r="D24" s="627">
        <v>1</v>
      </c>
      <c r="E24" s="3"/>
      <c r="F24" s="626" t="s">
        <v>728</v>
      </c>
      <c r="G24" s="620">
        <v>374.92</v>
      </c>
      <c r="H24" s="507"/>
      <c r="I24" s="508"/>
      <c r="J24" s="509"/>
      <c r="K24" s="510"/>
      <c r="L24" s="628"/>
      <c r="M24" s="984"/>
      <c r="N24" s="622"/>
      <c r="O24" s="28"/>
      <c r="P24" s="34"/>
      <c r="Q24" s="629"/>
      <c r="R24" s="556">
        <f t="shared" si="0"/>
        <v>0</v>
      </c>
      <c r="S24" s="625">
        <f t="shared" si="1"/>
        <v>0</v>
      </c>
      <c r="T24" s="603"/>
      <c r="U24" s="604"/>
      <c r="V24" s="605"/>
    </row>
    <row r="25" spans="2:22" ht="87.75" customHeight="1" thickBot="1" x14ac:dyDescent="0.5">
      <c r="B25" s="626" t="s">
        <v>729</v>
      </c>
      <c r="C25" s="3"/>
      <c r="D25" s="627">
        <v>1</v>
      </c>
      <c r="E25" s="3"/>
      <c r="F25" s="626" t="s">
        <v>730</v>
      </c>
      <c r="G25" s="620">
        <v>535.6</v>
      </c>
      <c r="H25" s="507"/>
      <c r="I25" s="508"/>
      <c r="J25" s="509"/>
      <c r="K25" s="510"/>
      <c r="L25" s="628"/>
      <c r="M25" s="984"/>
      <c r="N25" s="622"/>
      <c r="O25" s="28"/>
      <c r="P25" s="34"/>
      <c r="Q25" s="629"/>
      <c r="R25" s="556">
        <f t="shared" si="0"/>
        <v>0</v>
      </c>
      <c r="S25" s="625">
        <f t="shared" si="1"/>
        <v>0</v>
      </c>
      <c r="T25" s="603"/>
      <c r="U25" s="604"/>
      <c r="V25" s="605"/>
    </row>
    <row r="26" spans="2:22" ht="90.75" customHeight="1" thickBot="1" x14ac:dyDescent="0.5">
      <c r="B26" s="626" t="s">
        <v>731</v>
      </c>
      <c r="C26" s="3"/>
      <c r="D26" s="627">
        <v>1</v>
      </c>
      <c r="E26" s="3"/>
      <c r="F26" s="626" t="s">
        <v>732</v>
      </c>
      <c r="G26" s="620">
        <v>535.6</v>
      </c>
      <c r="H26" s="507"/>
      <c r="I26" s="508"/>
      <c r="J26" s="509"/>
      <c r="K26" s="510"/>
      <c r="L26" s="628"/>
      <c r="M26" s="984"/>
      <c r="N26" s="622"/>
      <c r="O26" s="28"/>
      <c r="P26" s="34"/>
      <c r="Q26" s="629"/>
      <c r="R26" s="556">
        <f t="shared" si="0"/>
        <v>0</v>
      </c>
      <c r="S26" s="625">
        <f t="shared" si="1"/>
        <v>0</v>
      </c>
      <c r="T26" s="603"/>
      <c r="U26" s="604"/>
      <c r="V26" s="605"/>
    </row>
    <row r="27" spans="2:22" ht="21" x14ac:dyDescent="0.5">
      <c r="B27" s="630"/>
      <c r="C27" s="631"/>
      <c r="D27" s="632"/>
      <c r="E27" s="133"/>
      <c r="F27" s="633"/>
      <c r="G27" s="977" t="s">
        <v>733</v>
      </c>
      <c r="H27" s="634">
        <f t="shared" ref="H27:Q27" si="2">SUM(H9:H26)+(H8*$D$8)</f>
        <v>0</v>
      </c>
      <c r="I27" s="634">
        <f t="shared" si="2"/>
        <v>0</v>
      </c>
      <c r="J27" s="634">
        <f t="shared" si="2"/>
        <v>0</v>
      </c>
      <c r="K27" s="634">
        <f t="shared" si="2"/>
        <v>0</v>
      </c>
      <c r="L27" s="634">
        <f t="shared" si="2"/>
        <v>0</v>
      </c>
      <c r="M27" s="635">
        <f t="shared" si="2"/>
        <v>0</v>
      </c>
      <c r="N27" s="634">
        <f t="shared" si="2"/>
        <v>0</v>
      </c>
      <c r="O27" s="634">
        <f t="shared" si="2"/>
        <v>0</v>
      </c>
      <c r="P27" s="634">
        <f t="shared" si="2"/>
        <v>0</v>
      </c>
      <c r="Q27" s="634">
        <f t="shared" si="2"/>
        <v>0</v>
      </c>
      <c r="R27" s="556">
        <f>SUM(R8:R26)</f>
        <v>0</v>
      </c>
      <c r="S27" s="603">
        <f>SUM(S8:S26)</f>
        <v>0</v>
      </c>
      <c r="T27" s="603"/>
      <c r="U27" s="604"/>
      <c r="V27" s="605"/>
    </row>
    <row r="28" spans="2:22" ht="21.5" thickBot="1" x14ac:dyDescent="0.55000000000000004">
      <c r="B28" s="630"/>
      <c r="C28" s="631"/>
      <c r="D28" s="632"/>
      <c r="E28" s="133"/>
      <c r="F28" s="633"/>
      <c r="H28" s="635"/>
      <c r="I28" s="635"/>
      <c r="J28" s="603"/>
      <c r="K28" s="603"/>
      <c r="L28" s="603"/>
      <c r="M28" s="982"/>
      <c r="N28" s="603"/>
      <c r="O28" s="603"/>
      <c r="P28" s="603"/>
      <c r="Q28" s="603"/>
      <c r="R28" s="603"/>
      <c r="S28" s="603"/>
      <c r="T28" s="603"/>
      <c r="U28" s="604"/>
      <c r="V28" s="605"/>
    </row>
    <row r="29" spans="2:22" ht="21.5" thickTop="1" x14ac:dyDescent="0.5">
      <c r="B29" s="630"/>
      <c r="C29" s="631"/>
      <c r="D29" s="632"/>
      <c r="E29" s="133"/>
      <c r="F29" s="604"/>
      <c r="G29" s="1073" t="s">
        <v>734</v>
      </c>
      <c r="H29" s="1065"/>
      <c r="I29" s="1065"/>
      <c r="J29" s="1065"/>
      <c r="K29" s="1065"/>
      <c r="L29" s="1065"/>
      <c r="M29" s="1065"/>
      <c r="N29" s="1065"/>
      <c r="O29" s="1065"/>
      <c r="P29" s="1065"/>
      <c r="Q29" s="1074"/>
      <c r="R29" s="604"/>
      <c r="S29" s="604"/>
      <c r="T29" s="604"/>
      <c r="U29" s="604"/>
      <c r="V29" s="605"/>
    </row>
    <row r="30" spans="2:22" ht="21.5" thickBot="1" x14ac:dyDescent="0.55000000000000004">
      <c r="B30" s="630"/>
      <c r="C30" s="631"/>
      <c r="D30" s="632"/>
      <c r="E30" s="133"/>
      <c r="F30" s="604"/>
      <c r="G30" s="1075"/>
      <c r="H30" s="1076"/>
      <c r="I30" s="1076"/>
      <c r="J30" s="1076"/>
      <c r="K30" s="1076"/>
      <c r="L30" s="1076"/>
      <c r="M30" s="1076"/>
      <c r="N30" s="1076"/>
      <c r="O30" s="1076"/>
      <c r="P30" s="1076"/>
      <c r="Q30" s="1077"/>
      <c r="R30" s="604"/>
      <c r="S30" s="604"/>
      <c r="T30" s="604"/>
      <c r="U30" s="604"/>
      <c r="V30" s="605"/>
    </row>
    <row r="31" spans="2:22" ht="42" customHeight="1" thickTop="1" thickBot="1" x14ac:dyDescent="0.55000000000000004">
      <c r="B31" s="630"/>
      <c r="C31" s="631"/>
      <c r="D31" s="632"/>
      <c r="E31" s="133"/>
      <c r="F31" s="633"/>
      <c r="G31" s="636" t="s">
        <v>735</v>
      </c>
      <c r="H31" s="1079" t="s">
        <v>736</v>
      </c>
      <c r="I31" s="1058"/>
      <c r="J31" s="1058"/>
      <c r="K31" s="1058"/>
      <c r="L31" s="1058"/>
      <c r="M31" s="636" t="s">
        <v>737</v>
      </c>
      <c r="N31" s="1079" t="s">
        <v>738</v>
      </c>
      <c r="O31" s="1058"/>
      <c r="P31" s="1058"/>
      <c r="Q31" s="1058"/>
      <c r="R31" s="1058"/>
      <c r="S31" s="1058"/>
      <c r="T31" s="638" t="s">
        <v>536</v>
      </c>
      <c r="U31" s="639" t="s">
        <v>739</v>
      </c>
      <c r="V31" s="640" t="s">
        <v>23</v>
      </c>
    </row>
    <row r="32" spans="2:22" ht="66.75" customHeight="1" thickTop="1" thickBot="1" x14ac:dyDescent="0.55000000000000004">
      <c r="B32" s="1072" t="s">
        <v>740</v>
      </c>
      <c r="C32" s="1056"/>
      <c r="D32" s="641">
        <v>18</v>
      </c>
      <c r="E32" s="606"/>
      <c r="F32" s="642"/>
      <c r="G32" s="643">
        <f>G34+G42</f>
        <v>3560.93</v>
      </c>
      <c r="H32" s="576"/>
      <c r="I32" s="577"/>
      <c r="J32" s="578"/>
      <c r="K32" s="579"/>
      <c r="L32" s="644"/>
      <c r="M32" s="643">
        <f>M34+M42</f>
        <v>4071.59</v>
      </c>
      <c r="N32" s="645"/>
      <c r="O32" s="646"/>
      <c r="P32" s="647"/>
      <c r="Q32" s="580"/>
      <c r="R32" s="582"/>
      <c r="S32" s="648"/>
      <c r="T32" s="570">
        <f>(SUM(H32:L32)+SUM(N32:S32))*18</f>
        <v>0</v>
      </c>
      <c r="U32" s="570"/>
      <c r="V32" s="649">
        <f>(M32*SUM(N32:S32))+G32*(SUM(H32:L32))</f>
        <v>0</v>
      </c>
    </row>
    <row r="33" spans="2:22" ht="29.25" customHeight="1" thickTop="1" thickBot="1" x14ac:dyDescent="0.4"/>
    <row r="34" spans="2:22" ht="29.25" customHeight="1" thickTop="1" thickBot="1" x14ac:dyDescent="0.5">
      <c r="B34" s="1080" t="s">
        <v>741</v>
      </c>
      <c r="C34" s="1081"/>
      <c r="D34" s="650">
        <v>6</v>
      </c>
      <c r="E34" s="650"/>
      <c r="F34" s="972" t="s">
        <v>742</v>
      </c>
      <c r="G34" s="651">
        <v>1338.6</v>
      </c>
      <c r="H34" s="1013"/>
      <c r="I34" s="577"/>
      <c r="J34" s="578"/>
      <c r="K34" s="653"/>
      <c r="L34" s="654"/>
      <c r="M34" s="651">
        <v>1544.07</v>
      </c>
      <c r="N34" s="1014"/>
      <c r="O34" s="646"/>
      <c r="P34" s="647"/>
      <c r="Q34" s="580"/>
      <c r="R34" s="656"/>
      <c r="S34" s="648"/>
      <c r="T34" s="570">
        <f>(SUM(H34:L34)+SUM(N34:S34))*6</f>
        <v>0</v>
      </c>
      <c r="U34" s="570"/>
      <c r="V34" s="649">
        <f>(M34*SUM(N34:S34))+G34*(SUM(H34:L34))</f>
        <v>0</v>
      </c>
    </row>
    <row r="35" spans="2:22" ht="69.75" customHeight="1" thickTop="1" thickBot="1" x14ac:dyDescent="0.4">
      <c r="B35" s="657" t="s">
        <v>743</v>
      </c>
      <c r="C35" s="555"/>
      <c r="D35" s="556">
        <v>1</v>
      </c>
      <c r="E35" s="556" t="s">
        <v>744</v>
      </c>
      <c r="F35" s="557" t="s">
        <v>745</v>
      </c>
      <c r="G35" s="868">
        <v>234.84</v>
      </c>
      <c r="H35" s="558"/>
      <c r="I35" s="559"/>
      <c r="J35" s="560"/>
      <c r="K35" s="587"/>
      <c r="L35" s="658"/>
      <c r="M35" s="868">
        <v>270.89</v>
      </c>
      <c r="N35" s="659"/>
      <c r="O35" s="660"/>
      <c r="P35" s="661"/>
      <c r="Q35" s="562"/>
      <c r="R35" s="564"/>
      <c r="S35" s="662"/>
      <c r="T35" s="556">
        <f t="shared" ref="T35:T40" si="3">SUM(H35:L35)+SUM(N35:S35)</f>
        <v>0</v>
      </c>
      <c r="U35" s="556"/>
      <c r="V35" s="566">
        <f t="shared" ref="V35:V40" si="4">(SUM(H35:L35)*G35)+(SUM(N35:S35)*M35)</f>
        <v>0</v>
      </c>
    </row>
    <row r="36" spans="2:22" ht="69.75" customHeight="1" thickBot="1" x14ac:dyDescent="0.4">
      <c r="B36" s="657" t="s">
        <v>746</v>
      </c>
      <c r="C36" s="74"/>
      <c r="D36" s="530">
        <v>1</v>
      </c>
      <c r="E36" s="530" t="s">
        <v>747</v>
      </c>
      <c r="F36" s="40" t="s">
        <v>748</v>
      </c>
      <c r="G36" s="868">
        <v>234.84</v>
      </c>
      <c r="H36" s="531"/>
      <c r="I36" s="532"/>
      <c r="J36" s="533"/>
      <c r="K36" s="534"/>
      <c r="L36" s="663"/>
      <c r="M36" s="867">
        <v>270.89</v>
      </c>
      <c r="N36" s="664"/>
      <c r="O36" s="665"/>
      <c r="P36" s="666"/>
      <c r="Q36" s="535"/>
      <c r="R36" s="537"/>
      <c r="S36" s="667"/>
      <c r="T36" s="668">
        <f t="shared" si="3"/>
        <v>0</v>
      </c>
      <c r="U36" s="530"/>
      <c r="V36" s="566">
        <f t="shared" si="4"/>
        <v>0</v>
      </c>
    </row>
    <row r="37" spans="2:22" ht="69.75" customHeight="1" thickBot="1" x14ac:dyDescent="0.4">
      <c r="B37" s="657" t="s">
        <v>749</v>
      </c>
      <c r="C37" s="74"/>
      <c r="D37" s="530">
        <v>1</v>
      </c>
      <c r="E37" s="530" t="s">
        <v>750</v>
      </c>
      <c r="F37" s="40" t="s">
        <v>751</v>
      </c>
      <c r="G37" s="868">
        <v>234.84</v>
      </c>
      <c r="H37" s="531"/>
      <c r="I37" s="532"/>
      <c r="J37" s="533"/>
      <c r="K37" s="534"/>
      <c r="L37" s="663"/>
      <c r="M37" s="867">
        <v>270.89</v>
      </c>
      <c r="N37" s="664"/>
      <c r="O37" s="665"/>
      <c r="P37" s="666"/>
      <c r="Q37" s="535"/>
      <c r="R37" s="537"/>
      <c r="S37" s="667"/>
      <c r="T37" s="668">
        <f t="shared" si="3"/>
        <v>0</v>
      </c>
      <c r="U37" s="530"/>
      <c r="V37" s="566">
        <f t="shared" si="4"/>
        <v>0</v>
      </c>
    </row>
    <row r="38" spans="2:22" ht="69.75" customHeight="1" thickBot="1" x14ac:dyDescent="0.4">
      <c r="B38" s="657" t="s">
        <v>752</v>
      </c>
      <c r="C38" s="74"/>
      <c r="D38" s="530">
        <v>1</v>
      </c>
      <c r="E38" s="530" t="s">
        <v>753</v>
      </c>
      <c r="F38" s="40" t="s">
        <v>754</v>
      </c>
      <c r="G38" s="868">
        <v>234.84</v>
      </c>
      <c r="H38" s="531"/>
      <c r="I38" s="532"/>
      <c r="J38" s="533"/>
      <c r="K38" s="534"/>
      <c r="L38" s="663"/>
      <c r="M38" s="867">
        <v>270.89</v>
      </c>
      <c r="N38" s="664"/>
      <c r="O38" s="665"/>
      <c r="P38" s="666"/>
      <c r="Q38" s="535"/>
      <c r="R38" s="537"/>
      <c r="S38" s="667"/>
      <c r="T38" s="668">
        <f t="shared" si="3"/>
        <v>0</v>
      </c>
      <c r="U38" s="530"/>
      <c r="V38" s="566">
        <f t="shared" si="4"/>
        <v>0</v>
      </c>
    </row>
    <row r="39" spans="2:22" ht="69.75" customHeight="1" thickBot="1" x14ac:dyDescent="0.4">
      <c r="B39" s="669" t="s">
        <v>755</v>
      </c>
      <c r="C39" s="74"/>
      <c r="D39" s="530">
        <v>1</v>
      </c>
      <c r="E39" s="530" t="s">
        <v>756</v>
      </c>
      <c r="F39" s="40" t="s">
        <v>757</v>
      </c>
      <c r="G39" s="868">
        <v>234.84</v>
      </c>
      <c r="H39" s="531"/>
      <c r="I39" s="532"/>
      <c r="J39" s="533"/>
      <c r="K39" s="534"/>
      <c r="L39" s="663"/>
      <c r="M39" s="867">
        <v>270.89</v>
      </c>
      <c r="N39" s="664"/>
      <c r="O39" s="665"/>
      <c r="P39" s="666"/>
      <c r="Q39" s="535"/>
      <c r="R39" s="537"/>
      <c r="S39" s="667"/>
      <c r="T39" s="668">
        <f t="shared" si="3"/>
        <v>0</v>
      </c>
      <c r="U39" s="530"/>
      <c r="V39" s="566">
        <f t="shared" si="4"/>
        <v>0</v>
      </c>
    </row>
    <row r="40" spans="2:22" ht="69.75" customHeight="1" x14ac:dyDescent="0.35">
      <c r="B40" s="669" t="s">
        <v>758</v>
      </c>
      <c r="C40" s="74"/>
      <c r="D40" s="530">
        <v>1</v>
      </c>
      <c r="E40" s="530" t="s">
        <v>759</v>
      </c>
      <c r="F40" s="40" t="s">
        <v>760</v>
      </c>
      <c r="G40" s="868">
        <v>234.84</v>
      </c>
      <c r="H40" s="531"/>
      <c r="I40" s="532"/>
      <c r="J40" s="533"/>
      <c r="K40" s="573"/>
      <c r="L40" s="663"/>
      <c r="M40" s="867">
        <v>270.89</v>
      </c>
      <c r="N40" s="664"/>
      <c r="O40" s="665"/>
      <c r="P40" s="666"/>
      <c r="Q40" s="535"/>
      <c r="R40" s="537"/>
      <c r="S40" s="667"/>
      <c r="T40" s="668">
        <f t="shared" si="3"/>
        <v>0</v>
      </c>
      <c r="U40" s="530"/>
      <c r="V40" s="566">
        <f t="shared" si="4"/>
        <v>0</v>
      </c>
    </row>
    <row r="41" spans="2:22" ht="23.25" customHeight="1" thickBot="1" x14ac:dyDescent="0.4"/>
    <row r="42" spans="2:22" ht="19" thickBot="1" x14ac:dyDescent="0.4">
      <c r="B42" s="1082" t="s">
        <v>761</v>
      </c>
      <c r="C42" s="1083"/>
      <c r="D42" s="670">
        <f>SUM(D43:D54)</f>
        <v>12</v>
      </c>
      <c r="E42" s="1084" t="s">
        <v>742</v>
      </c>
      <c r="F42" s="1083"/>
      <c r="G42" s="740">
        <v>2222.33</v>
      </c>
      <c r="H42" s="1015"/>
      <c r="I42" s="672"/>
      <c r="J42" s="673"/>
      <c r="K42" s="674"/>
      <c r="L42" s="675"/>
      <c r="M42" s="740">
        <v>2527.52</v>
      </c>
      <c r="N42" s="676"/>
      <c r="O42" s="677"/>
      <c r="P42" s="678"/>
      <c r="Q42" s="679"/>
      <c r="R42" s="680"/>
      <c r="S42" s="681"/>
      <c r="T42" s="668">
        <f>(SUM(H42:L42)+SUM(N42:S42))*D42</f>
        <v>0</v>
      </c>
      <c r="U42" s="668"/>
      <c r="V42" s="682">
        <f t="shared" ref="V42:V54" si="5">(M42*SUM(N42:S42))+G42*(SUM(H42:L42))</f>
        <v>0</v>
      </c>
    </row>
    <row r="43" spans="2:22" ht="90" customHeight="1" thickBot="1" x14ac:dyDescent="0.4">
      <c r="B43" s="683" t="s">
        <v>762</v>
      </c>
      <c r="C43" s="555"/>
      <c r="D43" s="556">
        <v>1</v>
      </c>
      <c r="E43" s="556" t="s">
        <v>763</v>
      </c>
      <c r="F43" s="557" t="s">
        <v>764</v>
      </c>
      <c r="G43" s="868">
        <v>241.35</v>
      </c>
      <c r="H43" s="558"/>
      <c r="I43" s="559"/>
      <c r="J43" s="560"/>
      <c r="K43" s="587"/>
      <c r="L43" s="658"/>
      <c r="M43" s="867">
        <v>270.38</v>
      </c>
      <c r="N43" s="659"/>
      <c r="O43" s="660"/>
      <c r="P43" s="661"/>
      <c r="Q43" s="562"/>
      <c r="R43" s="564"/>
      <c r="S43" s="662"/>
      <c r="T43" s="668">
        <f t="shared" ref="T43:T54" si="6">SUM(H43:L43)+SUM(N43:S43)</f>
        <v>0</v>
      </c>
      <c r="U43" s="556"/>
      <c r="V43" s="682">
        <f t="shared" si="5"/>
        <v>0</v>
      </c>
    </row>
    <row r="44" spans="2:22" ht="90" customHeight="1" thickBot="1" x14ac:dyDescent="0.4">
      <c r="B44" s="669" t="s">
        <v>765</v>
      </c>
      <c r="C44" s="74"/>
      <c r="D44" s="530">
        <v>1</v>
      </c>
      <c r="E44" s="530" t="s">
        <v>766</v>
      </c>
      <c r="F44" s="40" t="s">
        <v>767</v>
      </c>
      <c r="G44" s="867">
        <v>219.08</v>
      </c>
      <c r="H44" s="531"/>
      <c r="I44" s="532"/>
      <c r="J44" s="533"/>
      <c r="K44" s="534"/>
      <c r="L44" s="663"/>
      <c r="M44" s="867">
        <v>248.75</v>
      </c>
      <c r="N44" s="664"/>
      <c r="O44" s="665"/>
      <c r="P44" s="666"/>
      <c r="Q44" s="535"/>
      <c r="R44" s="537"/>
      <c r="S44" s="667"/>
      <c r="T44" s="668">
        <f t="shared" si="6"/>
        <v>0</v>
      </c>
      <c r="U44" s="530"/>
      <c r="V44" s="682">
        <f t="shared" si="5"/>
        <v>0</v>
      </c>
    </row>
    <row r="45" spans="2:22" ht="90" customHeight="1" thickBot="1" x14ac:dyDescent="0.4">
      <c r="B45" s="669" t="s">
        <v>768</v>
      </c>
      <c r="C45" s="74"/>
      <c r="D45" s="530">
        <v>1</v>
      </c>
      <c r="E45" s="530" t="s">
        <v>769</v>
      </c>
      <c r="F45" s="40" t="s">
        <v>770</v>
      </c>
      <c r="G45" s="867">
        <v>219.08</v>
      </c>
      <c r="H45" s="531"/>
      <c r="I45" s="532"/>
      <c r="J45" s="533"/>
      <c r="K45" s="534"/>
      <c r="L45" s="663"/>
      <c r="M45" s="867">
        <v>248.75</v>
      </c>
      <c r="N45" s="664"/>
      <c r="O45" s="665"/>
      <c r="P45" s="666"/>
      <c r="Q45" s="535"/>
      <c r="R45" s="537"/>
      <c r="S45" s="667"/>
      <c r="T45" s="668">
        <f t="shared" si="6"/>
        <v>0</v>
      </c>
      <c r="U45" s="530"/>
      <c r="V45" s="682">
        <f t="shared" si="5"/>
        <v>0</v>
      </c>
    </row>
    <row r="46" spans="2:22" ht="90" customHeight="1" thickBot="1" x14ac:dyDescent="0.4">
      <c r="B46" s="669" t="s">
        <v>771</v>
      </c>
      <c r="C46" s="568"/>
      <c r="D46" s="530">
        <v>1</v>
      </c>
      <c r="E46" s="530" t="s">
        <v>772</v>
      </c>
      <c r="F46" s="40" t="s">
        <v>773</v>
      </c>
      <c r="G46" s="867">
        <v>219.08</v>
      </c>
      <c r="H46" s="531"/>
      <c r="I46" s="532"/>
      <c r="J46" s="533"/>
      <c r="K46" s="534"/>
      <c r="L46" s="663"/>
      <c r="M46" s="867">
        <v>248.75</v>
      </c>
      <c r="N46" s="664"/>
      <c r="O46" s="665"/>
      <c r="P46" s="666"/>
      <c r="Q46" s="535"/>
      <c r="R46" s="537"/>
      <c r="S46" s="667"/>
      <c r="T46" s="668">
        <f t="shared" si="6"/>
        <v>0</v>
      </c>
      <c r="U46" s="530"/>
      <c r="V46" s="682">
        <f t="shared" si="5"/>
        <v>0</v>
      </c>
    </row>
    <row r="47" spans="2:22" ht="90" customHeight="1" thickBot="1" x14ac:dyDescent="0.4">
      <c r="B47" s="669" t="s">
        <v>774</v>
      </c>
      <c r="C47" s="568"/>
      <c r="D47" s="530">
        <v>1</v>
      </c>
      <c r="E47" s="530" t="s">
        <v>772</v>
      </c>
      <c r="F47" s="40" t="s">
        <v>775</v>
      </c>
      <c r="G47" s="867">
        <v>219.08</v>
      </c>
      <c r="H47" s="531"/>
      <c r="I47" s="532"/>
      <c r="J47" s="533"/>
      <c r="K47" s="534"/>
      <c r="L47" s="663"/>
      <c r="M47" s="867">
        <v>248.75</v>
      </c>
      <c r="N47" s="664"/>
      <c r="O47" s="665"/>
      <c r="P47" s="666"/>
      <c r="Q47" s="535"/>
      <c r="R47" s="537"/>
      <c r="S47" s="667"/>
      <c r="T47" s="668">
        <f t="shared" si="6"/>
        <v>0</v>
      </c>
      <c r="U47" s="530"/>
      <c r="V47" s="682">
        <f t="shared" si="5"/>
        <v>0</v>
      </c>
    </row>
    <row r="48" spans="2:22" ht="90" customHeight="1" thickBot="1" x14ac:dyDescent="0.4">
      <c r="B48" s="669" t="s">
        <v>776</v>
      </c>
      <c r="C48" s="568"/>
      <c r="D48" s="530">
        <v>1</v>
      </c>
      <c r="E48" s="530" t="s">
        <v>772</v>
      </c>
      <c r="F48" s="40" t="s">
        <v>777</v>
      </c>
      <c r="G48" s="867">
        <v>219.08</v>
      </c>
      <c r="H48" s="531"/>
      <c r="I48" s="532"/>
      <c r="J48" s="533"/>
      <c r="K48" s="534"/>
      <c r="L48" s="663"/>
      <c r="M48" s="867">
        <v>248.75</v>
      </c>
      <c r="N48" s="664"/>
      <c r="O48" s="665"/>
      <c r="P48" s="666"/>
      <c r="Q48" s="535"/>
      <c r="R48" s="537"/>
      <c r="S48" s="667"/>
      <c r="T48" s="668">
        <f t="shared" si="6"/>
        <v>0</v>
      </c>
      <c r="U48" s="530"/>
      <c r="V48" s="682">
        <f t="shared" si="5"/>
        <v>0</v>
      </c>
    </row>
    <row r="49" spans="2:22" ht="90" customHeight="1" thickBot="1" x14ac:dyDescent="0.4">
      <c r="B49" s="669" t="s">
        <v>778</v>
      </c>
      <c r="C49" s="74"/>
      <c r="D49" s="530">
        <v>1</v>
      </c>
      <c r="E49" s="530" t="s">
        <v>779</v>
      </c>
      <c r="F49" s="40" t="s">
        <v>780</v>
      </c>
      <c r="G49" s="867">
        <v>167.09</v>
      </c>
      <c r="H49" s="531"/>
      <c r="I49" s="532"/>
      <c r="J49" s="533"/>
      <c r="K49" s="534"/>
      <c r="L49" s="663"/>
      <c r="M49" s="867">
        <v>191.07</v>
      </c>
      <c r="N49" s="664"/>
      <c r="O49" s="665"/>
      <c r="P49" s="666"/>
      <c r="Q49" s="535"/>
      <c r="R49" s="537"/>
      <c r="S49" s="667"/>
      <c r="T49" s="668">
        <f t="shared" si="6"/>
        <v>0</v>
      </c>
      <c r="U49" s="530"/>
      <c r="V49" s="682">
        <f t="shared" si="5"/>
        <v>0</v>
      </c>
    </row>
    <row r="50" spans="2:22" ht="90" customHeight="1" thickBot="1" x14ac:dyDescent="0.4">
      <c r="B50" s="669" t="s">
        <v>781</v>
      </c>
      <c r="C50" s="74"/>
      <c r="D50" s="530">
        <v>1</v>
      </c>
      <c r="E50" s="530" t="s">
        <v>782</v>
      </c>
      <c r="F50" s="40" t="s">
        <v>783</v>
      </c>
      <c r="G50" s="867">
        <v>167.09</v>
      </c>
      <c r="H50" s="531"/>
      <c r="I50" s="532"/>
      <c r="J50" s="533"/>
      <c r="K50" s="534"/>
      <c r="L50" s="663"/>
      <c r="M50" s="867">
        <v>191.07</v>
      </c>
      <c r="N50" s="664"/>
      <c r="O50" s="665"/>
      <c r="P50" s="666"/>
      <c r="Q50" s="535"/>
      <c r="R50" s="537"/>
      <c r="S50" s="667"/>
      <c r="T50" s="668">
        <f t="shared" si="6"/>
        <v>0</v>
      </c>
      <c r="U50" s="530"/>
      <c r="V50" s="682">
        <f t="shared" si="5"/>
        <v>0</v>
      </c>
    </row>
    <row r="51" spans="2:22" ht="90" customHeight="1" thickBot="1" x14ac:dyDescent="0.4">
      <c r="B51" s="669" t="s">
        <v>784</v>
      </c>
      <c r="C51" s="74"/>
      <c r="D51" s="530">
        <v>1</v>
      </c>
      <c r="E51" s="530" t="s">
        <v>785</v>
      </c>
      <c r="F51" s="40" t="s">
        <v>786</v>
      </c>
      <c r="G51" s="867">
        <v>167.09</v>
      </c>
      <c r="H51" s="531"/>
      <c r="I51" s="532"/>
      <c r="J51" s="533"/>
      <c r="K51" s="534"/>
      <c r="L51" s="663"/>
      <c r="M51" s="867">
        <v>191.07</v>
      </c>
      <c r="N51" s="664"/>
      <c r="O51" s="665"/>
      <c r="P51" s="666"/>
      <c r="Q51" s="535"/>
      <c r="R51" s="537"/>
      <c r="S51" s="667"/>
      <c r="T51" s="668">
        <f t="shared" si="6"/>
        <v>0</v>
      </c>
      <c r="U51" s="530"/>
      <c r="V51" s="682">
        <f t="shared" si="5"/>
        <v>0</v>
      </c>
    </row>
    <row r="52" spans="2:22" ht="90" customHeight="1" thickBot="1" x14ac:dyDescent="0.4">
      <c r="B52" s="669" t="s">
        <v>787</v>
      </c>
      <c r="C52" s="74"/>
      <c r="D52" s="530">
        <v>1</v>
      </c>
      <c r="E52" s="530" t="s">
        <v>788</v>
      </c>
      <c r="F52" s="40" t="s">
        <v>789</v>
      </c>
      <c r="G52" s="867">
        <v>167.09</v>
      </c>
      <c r="H52" s="531"/>
      <c r="I52" s="532"/>
      <c r="J52" s="533"/>
      <c r="K52" s="534"/>
      <c r="L52" s="663"/>
      <c r="M52" s="867">
        <v>191.07</v>
      </c>
      <c r="N52" s="664"/>
      <c r="O52" s="665"/>
      <c r="P52" s="666"/>
      <c r="Q52" s="535"/>
      <c r="R52" s="537"/>
      <c r="S52" s="667"/>
      <c r="T52" s="668">
        <f t="shared" si="6"/>
        <v>0</v>
      </c>
      <c r="U52" s="530"/>
      <c r="V52" s="682">
        <f t="shared" si="5"/>
        <v>0</v>
      </c>
    </row>
    <row r="53" spans="2:22" ht="90" customHeight="1" thickBot="1" x14ac:dyDescent="0.4">
      <c r="B53" s="669" t="s">
        <v>790</v>
      </c>
      <c r="C53" s="74"/>
      <c r="D53" s="530">
        <v>1</v>
      </c>
      <c r="E53" s="530" t="s">
        <v>791</v>
      </c>
      <c r="F53" s="40" t="s">
        <v>792</v>
      </c>
      <c r="G53" s="867">
        <v>167.09</v>
      </c>
      <c r="H53" s="531"/>
      <c r="I53" s="532"/>
      <c r="J53" s="533"/>
      <c r="K53" s="534"/>
      <c r="L53" s="663"/>
      <c r="M53" s="867">
        <v>191.07</v>
      </c>
      <c r="N53" s="664"/>
      <c r="O53" s="665"/>
      <c r="P53" s="666"/>
      <c r="Q53" s="535"/>
      <c r="R53" s="537"/>
      <c r="S53" s="667"/>
      <c r="T53" s="668">
        <f t="shared" si="6"/>
        <v>0</v>
      </c>
      <c r="U53" s="530"/>
      <c r="V53" s="682">
        <f t="shared" si="5"/>
        <v>0</v>
      </c>
    </row>
    <row r="54" spans="2:22" ht="90" customHeight="1" x14ac:dyDescent="0.35">
      <c r="B54" s="669" t="s">
        <v>793</v>
      </c>
      <c r="C54" s="74"/>
      <c r="D54" s="530">
        <v>1</v>
      </c>
      <c r="E54" s="530" t="s">
        <v>794</v>
      </c>
      <c r="F54" s="40" t="s">
        <v>795</v>
      </c>
      <c r="G54" s="867">
        <v>167.09</v>
      </c>
      <c r="H54" s="531"/>
      <c r="I54" s="532"/>
      <c r="J54" s="533"/>
      <c r="K54" s="534"/>
      <c r="L54" s="663"/>
      <c r="M54" s="867">
        <v>191.07</v>
      </c>
      <c r="N54" s="664"/>
      <c r="O54" s="665"/>
      <c r="P54" s="666"/>
      <c r="Q54" s="535"/>
      <c r="R54" s="537"/>
      <c r="S54" s="667"/>
      <c r="T54" s="668">
        <f t="shared" si="6"/>
        <v>0</v>
      </c>
      <c r="U54" s="530"/>
      <c r="V54" s="682">
        <f t="shared" si="5"/>
        <v>0</v>
      </c>
    </row>
    <row r="55" spans="2:22" ht="24" customHeight="1" thickBot="1" x14ac:dyDescent="0.4">
      <c r="G55" s="974"/>
      <c r="L55" s="684"/>
      <c r="M55" s="985"/>
    </row>
    <row r="56" spans="2:22" ht="20.25" customHeight="1" thickBot="1" x14ac:dyDescent="0.4">
      <c r="B56" s="1085" t="s">
        <v>796</v>
      </c>
      <c r="C56" s="1034"/>
      <c r="D56" s="530">
        <f>SUM(D57:D74)</f>
        <v>20</v>
      </c>
      <c r="E56" s="530"/>
      <c r="F56" s="685" t="s">
        <v>559</v>
      </c>
      <c r="G56" s="978">
        <v>3060.03</v>
      </c>
      <c r="H56" s="531"/>
      <c r="I56" s="532"/>
      <c r="J56" s="533"/>
      <c r="K56" s="534"/>
      <c r="L56" s="663"/>
      <c r="M56" s="978">
        <f>SUM(M57:M74)</f>
        <v>3887.26</v>
      </c>
      <c r="N56" s="664"/>
      <c r="O56" s="665"/>
      <c r="P56" s="666"/>
      <c r="Q56" s="535"/>
      <c r="R56" s="575"/>
      <c r="S56" s="667"/>
      <c r="T56" s="668">
        <f>(SUM(H56:L56)+SUM(N56:S56))*D56</f>
        <v>0</v>
      </c>
      <c r="U56" s="668"/>
      <c r="V56" s="682">
        <f t="shared" ref="V56:V74" si="7">(M56*SUM(N56:S56))+G56*(SUM(H56:L56))</f>
        <v>0</v>
      </c>
    </row>
    <row r="57" spans="2:22" ht="90" customHeight="1" thickBot="1" x14ac:dyDescent="0.4">
      <c r="B57" s="669" t="s">
        <v>797</v>
      </c>
      <c r="C57" s="74"/>
      <c r="D57" s="530">
        <v>1</v>
      </c>
      <c r="E57" s="530" t="s">
        <v>798</v>
      </c>
      <c r="F57" s="40" t="s">
        <v>799</v>
      </c>
      <c r="G57" s="867">
        <v>189.52</v>
      </c>
      <c r="H57" s="531"/>
      <c r="I57" s="532"/>
      <c r="J57" s="533"/>
      <c r="K57" s="573"/>
      <c r="L57" s="663"/>
      <c r="M57" s="867">
        <v>216.68</v>
      </c>
      <c r="N57" s="664"/>
      <c r="O57" s="665"/>
      <c r="P57" s="666"/>
      <c r="Q57" s="535"/>
      <c r="R57" s="537"/>
      <c r="S57" s="667"/>
      <c r="T57" s="668">
        <f t="shared" ref="T57:T74" si="8">SUM(H57:L57)+SUM(N57:S57)</f>
        <v>0</v>
      </c>
      <c r="U57" s="530"/>
      <c r="V57" s="682">
        <f t="shared" si="7"/>
        <v>0</v>
      </c>
    </row>
    <row r="58" spans="2:22" ht="90" customHeight="1" thickBot="1" x14ac:dyDescent="0.4">
      <c r="B58" s="669" t="s">
        <v>800</v>
      </c>
      <c r="C58" s="74"/>
      <c r="D58" s="530">
        <v>1</v>
      </c>
      <c r="E58" s="530" t="s">
        <v>801</v>
      </c>
      <c r="F58" s="40" t="s">
        <v>802</v>
      </c>
      <c r="G58" s="867">
        <v>179.22</v>
      </c>
      <c r="H58" s="531"/>
      <c r="I58" s="532"/>
      <c r="J58" s="533"/>
      <c r="K58" s="573"/>
      <c r="L58" s="663"/>
      <c r="M58" s="867">
        <v>204.9</v>
      </c>
      <c r="N58" s="664"/>
      <c r="O58" s="665"/>
      <c r="P58" s="666"/>
      <c r="Q58" s="535"/>
      <c r="R58" s="537"/>
      <c r="S58" s="667"/>
      <c r="T58" s="668">
        <f t="shared" si="8"/>
        <v>0</v>
      </c>
      <c r="U58" s="530"/>
      <c r="V58" s="682">
        <f t="shared" si="7"/>
        <v>0</v>
      </c>
    </row>
    <row r="59" spans="2:22" ht="90" customHeight="1" thickBot="1" x14ac:dyDescent="0.4">
      <c r="B59" s="669" t="s">
        <v>803</v>
      </c>
      <c r="C59" s="74"/>
      <c r="D59" s="530">
        <v>1</v>
      </c>
      <c r="E59" s="530" t="s">
        <v>804</v>
      </c>
      <c r="F59" s="40" t="s">
        <v>805</v>
      </c>
      <c r="G59" s="867">
        <v>162.74</v>
      </c>
      <c r="H59" s="531"/>
      <c r="I59" s="532"/>
      <c r="J59" s="533"/>
      <c r="K59" s="573"/>
      <c r="L59" s="663"/>
      <c r="M59" s="867">
        <v>186.06</v>
      </c>
      <c r="N59" s="664"/>
      <c r="O59" s="665"/>
      <c r="P59" s="666"/>
      <c r="Q59" s="535"/>
      <c r="R59" s="537"/>
      <c r="S59" s="667"/>
      <c r="T59" s="668">
        <f t="shared" si="8"/>
        <v>0</v>
      </c>
      <c r="U59" s="530"/>
      <c r="V59" s="682">
        <f t="shared" si="7"/>
        <v>0</v>
      </c>
    </row>
    <row r="60" spans="2:22" ht="90" customHeight="1" thickBot="1" x14ac:dyDescent="0.4">
      <c r="B60" s="669" t="s">
        <v>806</v>
      </c>
      <c r="C60" s="74"/>
      <c r="D60" s="530">
        <v>1</v>
      </c>
      <c r="E60" s="530"/>
      <c r="F60" s="40" t="s">
        <v>807</v>
      </c>
      <c r="G60" s="867">
        <v>163.77000000000001</v>
      </c>
      <c r="H60" s="531"/>
      <c r="I60" s="532"/>
      <c r="J60" s="533"/>
      <c r="K60" s="573"/>
      <c r="L60" s="663"/>
      <c r="M60" s="867">
        <v>187.24</v>
      </c>
      <c r="N60" s="664"/>
      <c r="O60" s="665"/>
      <c r="P60" s="666"/>
      <c r="Q60" s="535"/>
      <c r="R60" s="537"/>
      <c r="S60" s="667"/>
      <c r="T60" s="668">
        <f t="shared" si="8"/>
        <v>0</v>
      </c>
      <c r="U60" s="530"/>
      <c r="V60" s="682">
        <f t="shared" si="7"/>
        <v>0</v>
      </c>
    </row>
    <row r="61" spans="2:22" ht="90" customHeight="1" thickBot="1" x14ac:dyDescent="0.4">
      <c r="B61" s="669" t="s">
        <v>808</v>
      </c>
      <c r="C61" s="74"/>
      <c r="D61" s="530">
        <v>1</v>
      </c>
      <c r="E61" s="530"/>
      <c r="F61" s="40" t="s">
        <v>809</v>
      </c>
      <c r="G61" s="867">
        <v>163.77000000000001</v>
      </c>
      <c r="H61" s="531"/>
      <c r="I61" s="532"/>
      <c r="J61" s="533"/>
      <c r="K61" s="534"/>
      <c r="L61" s="663"/>
      <c r="M61" s="867">
        <v>187.24</v>
      </c>
      <c r="N61" s="664"/>
      <c r="O61" s="665"/>
      <c r="P61" s="666"/>
      <c r="Q61" s="535"/>
      <c r="R61" s="537"/>
      <c r="S61" s="667"/>
      <c r="T61" s="668">
        <f t="shared" si="8"/>
        <v>0</v>
      </c>
      <c r="U61" s="530"/>
      <c r="V61" s="682">
        <f t="shared" si="7"/>
        <v>0</v>
      </c>
    </row>
    <row r="62" spans="2:22" ht="90" customHeight="1" thickBot="1" x14ac:dyDescent="0.4">
      <c r="B62" s="669" t="s">
        <v>810</v>
      </c>
      <c r="C62" s="74"/>
      <c r="D62" s="530">
        <v>1</v>
      </c>
      <c r="E62" s="530" t="s">
        <v>811</v>
      </c>
      <c r="F62" s="40" t="s">
        <v>812</v>
      </c>
      <c r="G62" s="867">
        <v>193.64000000000001</v>
      </c>
      <c r="H62" s="531"/>
      <c r="I62" s="532"/>
      <c r="J62" s="533"/>
      <c r="K62" s="534"/>
      <c r="L62" s="663"/>
      <c r="M62" s="867">
        <v>221.39</v>
      </c>
      <c r="N62" s="664"/>
      <c r="O62" s="665"/>
      <c r="P62" s="666"/>
      <c r="Q62" s="535"/>
      <c r="R62" s="537"/>
      <c r="S62" s="667"/>
      <c r="T62" s="668">
        <f t="shared" si="8"/>
        <v>0</v>
      </c>
      <c r="U62" s="530"/>
      <c r="V62" s="682">
        <f t="shared" si="7"/>
        <v>0</v>
      </c>
    </row>
    <row r="63" spans="2:22" ht="90" customHeight="1" thickBot="1" x14ac:dyDescent="0.4">
      <c r="B63" s="669" t="s">
        <v>813</v>
      </c>
      <c r="C63" s="74"/>
      <c r="D63" s="530">
        <v>1</v>
      </c>
      <c r="E63" s="530"/>
      <c r="F63" s="40" t="s">
        <v>814</v>
      </c>
      <c r="G63" s="867">
        <v>163.77000000000001</v>
      </c>
      <c r="H63" s="531"/>
      <c r="I63" s="532"/>
      <c r="J63" s="533"/>
      <c r="K63" s="534"/>
      <c r="L63" s="663"/>
      <c r="M63" s="867">
        <v>187.24</v>
      </c>
      <c r="N63" s="664"/>
      <c r="O63" s="665"/>
      <c r="P63" s="666"/>
      <c r="Q63" s="535"/>
      <c r="R63" s="537"/>
      <c r="S63" s="667"/>
      <c r="T63" s="668">
        <f t="shared" si="8"/>
        <v>0</v>
      </c>
      <c r="U63" s="530"/>
      <c r="V63" s="682">
        <f t="shared" si="7"/>
        <v>0</v>
      </c>
    </row>
    <row r="64" spans="2:22" ht="90" customHeight="1" thickBot="1" x14ac:dyDescent="0.4">
      <c r="B64" s="669" t="s">
        <v>815</v>
      </c>
      <c r="C64" s="74"/>
      <c r="D64" s="530">
        <v>1</v>
      </c>
      <c r="E64" s="530"/>
      <c r="F64" s="40" t="s">
        <v>816</v>
      </c>
      <c r="G64" s="867">
        <v>163.77000000000001</v>
      </c>
      <c r="H64" s="531"/>
      <c r="I64" s="532"/>
      <c r="J64" s="533"/>
      <c r="K64" s="534"/>
      <c r="L64" s="663"/>
      <c r="M64" s="867">
        <v>187.24</v>
      </c>
      <c r="N64" s="664"/>
      <c r="O64" s="665"/>
      <c r="P64" s="666"/>
      <c r="Q64" s="535"/>
      <c r="R64" s="537"/>
      <c r="S64" s="667"/>
      <c r="T64" s="668">
        <f t="shared" si="8"/>
        <v>0</v>
      </c>
      <c r="U64" s="530"/>
      <c r="V64" s="682">
        <f t="shared" si="7"/>
        <v>0</v>
      </c>
    </row>
    <row r="65" spans="2:23" ht="90" customHeight="1" thickBot="1" x14ac:dyDescent="0.4">
      <c r="B65" s="669" t="s">
        <v>817</v>
      </c>
      <c r="C65" s="74"/>
      <c r="D65" s="530">
        <v>4</v>
      </c>
      <c r="E65" s="356" t="s">
        <v>818</v>
      </c>
      <c r="F65" s="212" t="s">
        <v>819</v>
      </c>
      <c r="G65" s="867">
        <v>574.74</v>
      </c>
      <c r="H65" s="531"/>
      <c r="I65" s="532"/>
      <c r="J65" s="533"/>
      <c r="K65" s="534"/>
      <c r="L65" s="663"/>
      <c r="M65" s="867">
        <v>657.1</v>
      </c>
      <c r="N65" s="664"/>
      <c r="O65" s="665"/>
      <c r="P65" s="666"/>
      <c r="Q65" s="535"/>
      <c r="R65" s="537"/>
      <c r="S65" s="667"/>
      <c r="T65" s="668">
        <f t="shared" si="8"/>
        <v>0</v>
      </c>
      <c r="U65" s="530"/>
      <c r="V65" s="682">
        <f t="shared" si="7"/>
        <v>0</v>
      </c>
    </row>
    <row r="66" spans="2:23" ht="2.25" customHeight="1" thickBot="1" x14ac:dyDescent="0.4">
      <c r="B66" s="669" t="s">
        <v>820</v>
      </c>
      <c r="C66" s="74"/>
      <c r="D66" s="530"/>
      <c r="E66" s="530"/>
      <c r="F66" s="40"/>
      <c r="G66" s="867">
        <v>0</v>
      </c>
      <c r="H66" s="354"/>
      <c r="I66" s="354"/>
      <c r="J66" s="354"/>
      <c r="K66" s="686"/>
      <c r="L66" s="663"/>
      <c r="M66" s="867">
        <v>0</v>
      </c>
      <c r="N66" s="687"/>
      <c r="O66" s="354"/>
      <c r="P66" s="354"/>
      <c r="Q66" s="354"/>
      <c r="R66" s="686"/>
      <c r="S66" s="354"/>
      <c r="T66" s="668">
        <f t="shared" si="8"/>
        <v>0</v>
      </c>
      <c r="U66" s="530"/>
      <c r="V66" s="682">
        <f t="shared" si="7"/>
        <v>0</v>
      </c>
    </row>
    <row r="67" spans="2:23" ht="90" customHeight="1" thickBot="1" x14ac:dyDescent="0.4">
      <c r="B67" s="669" t="s">
        <v>820</v>
      </c>
      <c r="C67" s="74"/>
      <c r="D67" s="530">
        <v>1</v>
      </c>
      <c r="E67" s="530" t="s">
        <v>821</v>
      </c>
      <c r="F67" s="40" t="s">
        <v>822</v>
      </c>
      <c r="G67" s="867">
        <v>183.34</v>
      </c>
      <c r="H67" s="531"/>
      <c r="I67" s="532"/>
      <c r="J67" s="533"/>
      <c r="K67" s="534"/>
      <c r="L67" s="663"/>
      <c r="M67" s="867">
        <v>209.61</v>
      </c>
      <c r="N67" s="664"/>
      <c r="O67" s="665"/>
      <c r="P67" s="666"/>
      <c r="Q67" s="535"/>
      <c r="R67" s="537"/>
      <c r="S67" s="667"/>
      <c r="T67" s="668">
        <f t="shared" si="8"/>
        <v>0</v>
      </c>
      <c r="U67" s="530"/>
      <c r="V67" s="682">
        <f t="shared" si="7"/>
        <v>0</v>
      </c>
    </row>
    <row r="68" spans="2:23" ht="90" customHeight="1" thickBot="1" x14ac:dyDescent="0.4">
      <c r="B68" s="669" t="s">
        <v>823</v>
      </c>
      <c r="C68" s="74"/>
      <c r="D68" s="530">
        <v>1</v>
      </c>
      <c r="E68" s="530" t="s">
        <v>824</v>
      </c>
      <c r="F68" s="40" t="s">
        <v>825</v>
      </c>
      <c r="G68" s="867">
        <v>195.70000000000002</v>
      </c>
      <c r="H68" s="531"/>
      <c r="I68" s="532"/>
      <c r="J68" s="533"/>
      <c r="K68" s="534"/>
      <c r="L68" s="663"/>
      <c r="M68" s="867">
        <v>223.74</v>
      </c>
      <c r="N68" s="664"/>
      <c r="O68" s="665"/>
      <c r="P68" s="666"/>
      <c r="Q68" s="535"/>
      <c r="R68" s="537"/>
      <c r="S68" s="667"/>
      <c r="T68" s="668">
        <f t="shared" si="8"/>
        <v>0</v>
      </c>
      <c r="U68" s="530"/>
      <c r="V68" s="682">
        <f t="shared" si="7"/>
        <v>0</v>
      </c>
    </row>
    <row r="69" spans="2:23" ht="90" customHeight="1" thickBot="1" x14ac:dyDescent="0.4">
      <c r="B69" s="669" t="s">
        <v>826</v>
      </c>
      <c r="C69" s="74"/>
      <c r="D69" s="530">
        <v>1</v>
      </c>
      <c r="E69" s="688" t="s">
        <v>827</v>
      </c>
      <c r="F69" s="40" t="s">
        <v>828</v>
      </c>
      <c r="G69" s="867">
        <v>206</v>
      </c>
      <c r="H69" s="531"/>
      <c r="I69" s="532"/>
      <c r="J69" s="533"/>
      <c r="K69" s="534"/>
      <c r="L69" s="663"/>
      <c r="M69" s="867">
        <v>235.52</v>
      </c>
      <c r="N69" s="664"/>
      <c r="O69" s="665"/>
      <c r="P69" s="666"/>
      <c r="Q69" s="535"/>
      <c r="R69" s="537"/>
      <c r="S69" s="667"/>
      <c r="T69" s="668">
        <f t="shared" si="8"/>
        <v>0</v>
      </c>
      <c r="U69" s="530"/>
      <c r="V69" s="682">
        <f t="shared" si="7"/>
        <v>0</v>
      </c>
    </row>
    <row r="70" spans="2:23" ht="90" customHeight="1" thickBot="1" x14ac:dyDescent="0.4">
      <c r="B70" s="669" t="s">
        <v>829</v>
      </c>
      <c r="C70" s="74"/>
      <c r="D70" s="530">
        <v>1</v>
      </c>
      <c r="E70" s="688" t="s">
        <v>830</v>
      </c>
      <c r="F70" s="40" t="s">
        <v>831</v>
      </c>
      <c r="G70" s="867">
        <v>206</v>
      </c>
      <c r="H70" s="531"/>
      <c r="I70" s="532"/>
      <c r="J70" s="533"/>
      <c r="K70" s="534"/>
      <c r="L70" s="663"/>
      <c r="M70" s="867">
        <v>235.52</v>
      </c>
      <c r="N70" s="664"/>
      <c r="O70" s="665"/>
      <c r="P70" s="666"/>
      <c r="Q70" s="535"/>
      <c r="R70" s="537"/>
      <c r="S70" s="667"/>
      <c r="T70" s="668">
        <f t="shared" si="8"/>
        <v>0</v>
      </c>
      <c r="U70" s="530"/>
      <c r="V70" s="682">
        <f t="shared" si="7"/>
        <v>0</v>
      </c>
    </row>
    <row r="71" spans="2:23" ht="90" customHeight="1" thickBot="1" x14ac:dyDescent="0.4">
      <c r="B71" s="669" t="s">
        <v>832</v>
      </c>
      <c r="C71" s="530" t="s">
        <v>833</v>
      </c>
      <c r="D71" s="530">
        <v>1</v>
      </c>
      <c r="E71" s="530" t="s">
        <v>834</v>
      </c>
      <c r="F71" s="40" t="s">
        <v>835</v>
      </c>
      <c r="G71" s="867">
        <v>163.77000000000001</v>
      </c>
      <c r="H71" s="531"/>
      <c r="I71" s="532"/>
      <c r="J71" s="533"/>
      <c r="K71" s="534"/>
      <c r="L71" s="663"/>
      <c r="M71" s="867">
        <v>187.24</v>
      </c>
      <c r="N71" s="664"/>
      <c r="O71" s="665"/>
      <c r="P71" s="666"/>
      <c r="Q71" s="535"/>
      <c r="R71" s="537"/>
      <c r="S71" s="667"/>
      <c r="T71" s="668">
        <f t="shared" si="8"/>
        <v>0</v>
      </c>
      <c r="U71" s="530"/>
      <c r="V71" s="682">
        <f t="shared" si="7"/>
        <v>0</v>
      </c>
    </row>
    <row r="72" spans="2:23" ht="90" customHeight="1" thickBot="1" x14ac:dyDescent="0.4">
      <c r="B72" s="669" t="s">
        <v>836</v>
      </c>
      <c r="C72" s="74"/>
      <c r="D72" s="530">
        <v>1</v>
      </c>
      <c r="E72" s="530" t="s">
        <v>837</v>
      </c>
      <c r="F72" s="40" t="s">
        <v>838</v>
      </c>
      <c r="G72" s="867">
        <v>162.74</v>
      </c>
      <c r="H72" s="531"/>
      <c r="I72" s="532"/>
      <c r="J72" s="533"/>
      <c r="K72" s="534"/>
      <c r="L72" s="663"/>
      <c r="M72" s="867">
        <v>186.06</v>
      </c>
      <c r="N72" s="664"/>
      <c r="O72" s="665"/>
      <c r="P72" s="666"/>
      <c r="Q72" s="535"/>
      <c r="R72" s="537"/>
      <c r="S72" s="667"/>
      <c r="T72" s="668">
        <f t="shared" si="8"/>
        <v>0</v>
      </c>
      <c r="U72" s="530"/>
      <c r="V72" s="682">
        <f t="shared" si="7"/>
        <v>0</v>
      </c>
    </row>
    <row r="73" spans="2:23" ht="90" customHeight="1" thickBot="1" x14ac:dyDescent="0.4">
      <c r="B73" s="669" t="s">
        <v>839</v>
      </c>
      <c r="C73" s="74"/>
      <c r="D73" s="530">
        <v>1</v>
      </c>
      <c r="E73" s="530"/>
      <c r="F73" s="40" t="s">
        <v>840</v>
      </c>
      <c r="G73" s="867">
        <v>163.77000000000001</v>
      </c>
      <c r="H73" s="531"/>
      <c r="I73" s="532"/>
      <c r="J73" s="533"/>
      <c r="K73" s="534"/>
      <c r="L73" s="663"/>
      <c r="M73" s="867">
        <v>187.24</v>
      </c>
      <c r="N73" s="664"/>
      <c r="O73" s="665"/>
      <c r="P73" s="666"/>
      <c r="Q73" s="535"/>
      <c r="R73" s="537"/>
      <c r="S73" s="667"/>
      <c r="T73" s="668">
        <f t="shared" si="8"/>
        <v>0</v>
      </c>
      <c r="U73" s="530"/>
      <c r="V73" s="682">
        <f t="shared" si="7"/>
        <v>0</v>
      </c>
    </row>
    <row r="74" spans="2:23" ht="90" customHeight="1" thickBot="1" x14ac:dyDescent="0.4">
      <c r="B74" s="669" t="s">
        <v>841</v>
      </c>
      <c r="C74" s="689"/>
      <c r="D74" s="690">
        <v>1</v>
      </c>
      <c r="E74" s="690"/>
      <c r="F74" s="691" t="s">
        <v>842</v>
      </c>
      <c r="G74" s="979">
        <v>163.77000000000001</v>
      </c>
      <c r="H74" s="692"/>
      <c r="I74" s="693"/>
      <c r="J74" s="694"/>
      <c r="K74" s="695"/>
      <c r="L74" s="696"/>
      <c r="M74" s="986">
        <v>187.24</v>
      </c>
      <c r="N74" s="697"/>
      <c r="O74" s="698"/>
      <c r="P74" s="699"/>
      <c r="Q74" s="700"/>
      <c r="R74" s="701"/>
      <c r="S74" s="702"/>
      <c r="T74" s="668">
        <f t="shared" si="8"/>
        <v>0</v>
      </c>
      <c r="U74" s="530"/>
      <c r="V74" s="682">
        <f t="shared" si="7"/>
        <v>0</v>
      </c>
    </row>
    <row r="75" spans="2:23" ht="15.75" customHeight="1" thickTop="1" thickBot="1" x14ac:dyDescent="0.4">
      <c r="B75" s="1086" t="s">
        <v>843</v>
      </c>
      <c r="C75" s="1042"/>
      <c r="D75" s="1042"/>
      <c r="E75" s="1042"/>
      <c r="F75" s="1042"/>
      <c r="G75" s="1042"/>
      <c r="H75" s="704">
        <f t="shared" ref="H75:L75" si="9">SUM(H57:H74)+SUM(H43:H54)+SUM(H35:H40)+((H32*$D32)+(H34*$D34)+($D42*H42)+(H56*$D56))</f>
        <v>0</v>
      </c>
      <c r="I75" s="704">
        <f t="shared" si="9"/>
        <v>0</v>
      </c>
      <c r="J75" s="704">
        <f t="shared" si="9"/>
        <v>0</v>
      </c>
      <c r="K75" s="704">
        <f t="shared" si="9"/>
        <v>0</v>
      </c>
      <c r="L75" s="74">
        <f t="shared" si="9"/>
        <v>0</v>
      </c>
      <c r="M75" s="987"/>
      <c r="N75" s="705">
        <f t="shared" ref="N75:S75" si="10">SUM(N57:N74)+SUM(N43:N54)+SUM(N35:N40)+((N32*$D32)+(N34*$D34)+($D42*N42)+(N56*$D56))</f>
        <v>0</v>
      </c>
      <c r="O75" s="706">
        <f t="shared" si="10"/>
        <v>0</v>
      </c>
      <c r="P75" s="704">
        <f t="shared" si="10"/>
        <v>0</v>
      </c>
      <c r="Q75" s="704">
        <f t="shared" si="10"/>
        <v>0</v>
      </c>
      <c r="R75" s="704">
        <f t="shared" si="10"/>
        <v>0</v>
      </c>
      <c r="S75" s="704">
        <f t="shared" si="10"/>
        <v>0</v>
      </c>
      <c r="T75" s="704">
        <f>SUM(T32:T74)</f>
        <v>0</v>
      </c>
      <c r="U75" s="704"/>
      <c r="V75" s="707">
        <f>SUM(V34:V74)</f>
        <v>0</v>
      </c>
      <c r="W75" s="133"/>
    </row>
    <row r="76" spans="2:23" ht="15.75" customHeight="1" x14ac:dyDescent="0.35">
      <c r="B76" s="703" t="s">
        <v>844</v>
      </c>
      <c r="G76" s="974"/>
      <c r="V76" s="708">
        <f>S27+V75</f>
        <v>0</v>
      </c>
      <c r="W76" s="133"/>
    </row>
    <row r="77" spans="2:23" ht="15.75" customHeight="1" x14ac:dyDescent="0.35">
      <c r="G77" s="974"/>
    </row>
    <row r="78" spans="2:23" ht="15.75" customHeight="1" x14ac:dyDescent="0.35">
      <c r="G78" s="974"/>
    </row>
    <row r="79" spans="2:23" ht="15.75" customHeight="1" x14ac:dyDescent="0.35">
      <c r="G79" s="974"/>
    </row>
    <row r="80" spans="2:23" ht="15.75" customHeight="1" x14ac:dyDescent="0.35">
      <c r="G80" s="974"/>
    </row>
    <row r="81" spans="7:7" ht="15.75" customHeight="1" x14ac:dyDescent="0.35">
      <c r="G81" s="974"/>
    </row>
    <row r="82" spans="7:7" ht="15.75" customHeight="1" x14ac:dyDescent="0.35">
      <c r="G82" s="974"/>
    </row>
    <row r="83" spans="7:7" ht="15.75" customHeight="1" x14ac:dyDescent="0.35">
      <c r="G83" s="974"/>
    </row>
    <row r="84" spans="7:7" ht="15.75" customHeight="1" x14ac:dyDescent="0.35">
      <c r="G84" s="974"/>
    </row>
    <row r="85" spans="7:7" ht="15.75" customHeight="1" x14ac:dyDescent="0.35">
      <c r="G85" s="974"/>
    </row>
    <row r="86" spans="7:7" ht="15.75" customHeight="1" x14ac:dyDescent="0.35">
      <c r="G86" s="974"/>
    </row>
    <row r="87" spans="7:7" ht="15.75" customHeight="1" x14ac:dyDescent="0.35">
      <c r="G87" s="974"/>
    </row>
    <row r="88" spans="7:7" ht="15.75" customHeight="1" x14ac:dyDescent="0.35">
      <c r="G88" s="974"/>
    </row>
    <row r="89" spans="7:7" ht="15.75" customHeight="1" x14ac:dyDescent="0.35">
      <c r="G89" s="974"/>
    </row>
    <row r="90" spans="7:7" ht="15.75" customHeight="1" x14ac:dyDescent="0.35">
      <c r="G90" s="974"/>
    </row>
    <row r="91" spans="7:7" ht="15.75" customHeight="1" x14ac:dyDescent="0.35">
      <c r="G91" s="974"/>
    </row>
    <row r="92" spans="7:7" ht="15.75" customHeight="1" x14ac:dyDescent="0.35">
      <c r="G92" s="974"/>
    </row>
    <row r="93" spans="7:7" ht="15.75" customHeight="1" x14ac:dyDescent="0.35">
      <c r="G93" s="974"/>
    </row>
    <row r="94" spans="7:7" ht="15.75" customHeight="1" x14ac:dyDescent="0.35">
      <c r="G94" s="974"/>
    </row>
    <row r="95" spans="7:7" ht="15.75" customHeight="1" x14ac:dyDescent="0.35">
      <c r="G95" s="974"/>
    </row>
    <row r="96" spans="7:7" ht="15.75" customHeight="1" x14ac:dyDescent="0.35">
      <c r="G96" s="974"/>
    </row>
    <row r="97" spans="7:7" ht="15.75" customHeight="1" x14ac:dyDescent="0.35">
      <c r="G97" s="974"/>
    </row>
    <row r="98" spans="7:7" ht="15.75" customHeight="1" x14ac:dyDescent="0.35">
      <c r="G98" s="974"/>
    </row>
    <row r="99" spans="7:7" ht="15.75" customHeight="1" x14ac:dyDescent="0.35">
      <c r="G99" s="974"/>
    </row>
    <row r="100" spans="7:7" ht="15.75" customHeight="1" x14ac:dyDescent="0.35">
      <c r="G100" s="974"/>
    </row>
    <row r="101" spans="7:7" ht="15.75" customHeight="1" x14ac:dyDescent="0.35">
      <c r="G101" s="974"/>
    </row>
    <row r="102" spans="7:7" ht="15.75" customHeight="1" x14ac:dyDescent="0.35">
      <c r="G102" s="974"/>
    </row>
    <row r="103" spans="7:7" ht="15.75" customHeight="1" x14ac:dyDescent="0.35">
      <c r="G103" s="974"/>
    </row>
    <row r="104" spans="7:7" ht="15.75" customHeight="1" x14ac:dyDescent="0.35">
      <c r="G104" s="974"/>
    </row>
    <row r="105" spans="7:7" ht="15.75" customHeight="1" x14ac:dyDescent="0.35">
      <c r="G105" s="974"/>
    </row>
    <row r="106" spans="7:7" ht="15.75" customHeight="1" x14ac:dyDescent="0.35">
      <c r="G106" s="974"/>
    </row>
    <row r="107" spans="7:7" ht="15.75" customHeight="1" x14ac:dyDescent="0.35">
      <c r="G107" s="974"/>
    </row>
    <row r="108" spans="7:7" ht="15.75" customHeight="1" x14ac:dyDescent="0.35">
      <c r="G108" s="974"/>
    </row>
    <row r="109" spans="7:7" ht="15.75" customHeight="1" x14ac:dyDescent="0.35">
      <c r="G109" s="974"/>
    </row>
    <row r="110" spans="7:7" ht="15.75" customHeight="1" x14ac:dyDescent="0.35">
      <c r="G110" s="974"/>
    </row>
    <row r="111" spans="7:7" ht="15.75" customHeight="1" x14ac:dyDescent="0.35">
      <c r="G111" s="974"/>
    </row>
    <row r="112" spans="7:7" ht="15.75" customHeight="1" x14ac:dyDescent="0.35">
      <c r="G112" s="974"/>
    </row>
    <row r="113" spans="7:7" ht="15.75" customHeight="1" x14ac:dyDescent="0.35">
      <c r="G113" s="974"/>
    </row>
    <row r="114" spans="7:7" ht="15.75" customHeight="1" x14ac:dyDescent="0.35">
      <c r="G114" s="974"/>
    </row>
    <row r="115" spans="7:7" ht="15.75" customHeight="1" x14ac:dyDescent="0.35">
      <c r="G115" s="974"/>
    </row>
    <row r="116" spans="7:7" ht="15.75" customHeight="1" x14ac:dyDescent="0.35">
      <c r="G116" s="974"/>
    </row>
    <row r="117" spans="7:7" ht="15.75" customHeight="1" x14ac:dyDescent="0.35">
      <c r="G117" s="974"/>
    </row>
    <row r="118" spans="7:7" ht="15.75" customHeight="1" x14ac:dyDescent="0.35">
      <c r="G118" s="974"/>
    </row>
    <row r="119" spans="7:7" ht="15.75" customHeight="1" x14ac:dyDescent="0.35">
      <c r="G119" s="974"/>
    </row>
    <row r="120" spans="7:7" ht="15.75" customHeight="1" x14ac:dyDescent="0.35">
      <c r="G120" s="974"/>
    </row>
    <row r="121" spans="7:7" ht="15.75" customHeight="1" x14ac:dyDescent="0.35">
      <c r="G121" s="974"/>
    </row>
    <row r="122" spans="7:7" ht="15.75" customHeight="1" x14ac:dyDescent="0.35">
      <c r="G122" s="974"/>
    </row>
    <row r="123" spans="7:7" ht="15.75" customHeight="1" x14ac:dyDescent="0.35">
      <c r="G123" s="974"/>
    </row>
    <row r="124" spans="7:7" ht="15.75" customHeight="1" x14ac:dyDescent="0.35">
      <c r="G124" s="974"/>
    </row>
    <row r="125" spans="7:7" ht="15.75" customHeight="1" x14ac:dyDescent="0.35">
      <c r="G125" s="974"/>
    </row>
    <row r="126" spans="7:7" ht="15.75" customHeight="1" x14ac:dyDescent="0.35">
      <c r="G126" s="974"/>
    </row>
    <row r="127" spans="7:7" ht="15.75" customHeight="1" x14ac:dyDescent="0.35">
      <c r="G127" s="974"/>
    </row>
    <row r="128" spans="7:7" ht="15.75" customHeight="1" x14ac:dyDescent="0.35">
      <c r="G128" s="974"/>
    </row>
    <row r="129" spans="7:7" ht="15.75" customHeight="1" x14ac:dyDescent="0.35">
      <c r="G129" s="974"/>
    </row>
    <row r="130" spans="7:7" ht="15.75" customHeight="1" x14ac:dyDescent="0.35">
      <c r="G130" s="974"/>
    </row>
    <row r="131" spans="7:7" ht="15.75" customHeight="1" x14ac:dyDescent="0.35">
      <c r="G131" s="974"/>
    </row>
    <row r="132" spans="7:7" ht="15.75" customHeight="1" x14ac:dyDescent="0.35">
      <c r="G132" s="974"/>
    </row>
    <row r="133" spans="7:7" ht="15.75" customHeight="1" x14ac:dyDescent="0.35">
      <c r="G133" s="974"/>
    </row>
    <row r="134" spans="7:7" ht="15.75" customHeight="1" x14ac:dyDescent="0.35">
      <c r="G134" s="974"/>
    </row>
    <row r="135" spans="7:7" ht="15.75" customHeight="1" x14ac:dyDescent="0.35">
      <c r="G135" s="974"/>
    </row>
    <row r="136" spans="7:7" ht="15.75" customHeight="1" x14ac:dyDescent="0.35">
      <c r="G136" s="974"/>
    </row>
    <row r="137" spans="7:7" ht="15.75" customHeight="1" x14ac:dyDescent="0.35">
      <c r="G137" s="974"/>
    </row>
    <row r="138" spans="7:7" ht="15.75" customHeight="1" x14ac:dyDescent="0.35">
      <c r="G138" s="974"/>
    </row>
    <row r="139" spans="7:7" ht="15.75" customHeight="1" x14ac:dyDescent="0.35">
      <c r="G139" s="974"/>
    </row>
    <row r="140" spans="7:7" ht="15.75" customHeight="1" x14ac:dyDescent="0.35">
      <c r="G140" s="974"/>
    </row>
    <row r="141" spans="7:7" ht="15.75" customHeight="1" x14ac:dyDescent="0.35">
      <c r="G141" s="974"/>
    </row>
    <row r="142" spans="7:7" ht="15.75" customHeight="1" x14ac:dyDescent="0.35">
      <c r="G142" s="974"/>
    </row>
    <row r="143" spans="7:7" ht="15.75" customHeight="1" x14ac:dyDescent="0.35">
      <c r="G143" s="974"/>
    </row>
    <row r="144" spans="7:7" ht="15.75" customHeight="1" x14ac:dyDescent="0.35">
      <c r="G144" s="974"/>
    </row>
    <row r="145" spans="7:7" ht="15.75" customHeight="1" x14ac:dyDescent="0.35">
      <c r="G145" s="974"/>
    </row>
    <row r="146" spans="7:7" ht="15.75" customHeight="1" x14ac:dyDescent="0.35">
      <c r="G146" s="974"/>
    </row>
    <row r="147" spans="7:7" ht="15.75" customHeight="1" x14ac:dyDescent="0.35">
      <c r="G147" s="974"/>
    </row>
    <row r="148" spans="7:7" ht="15.75" customHeight="1" x14ac:dyDescent="0.35">
      <c r="G148" s="974"/>
    </row>
    <row r="149" spans="7:7" ht="15.75" customHeight="1" x14ac:dyDescent="0.35">
      <c r="G149" s="974"/>
    </row>
    <row r="150" spans="7:7" ht="15.75" customHeight="1" x14ac:dyDescent="0.35">
      <c r="G150" s="974"/>
    </row>
    <row r="151" spans="7:7" ht="15.75" customHeight="1" x14ac:dyDescent="0.35">
      <c r="G151" s="974"/>
    </row>
    <row r="152" spans="7:7" ht="15.75" customHeight="1" x14ac:dyDescent="0.35">
      <c r="G152" s="974"/>
    </row>
    <row r="153" spans="7:7" ht="15.75" customHeight="1" x14ac:dyDescent="0.35">
      <c r="G153" s="974"/>
    </row>
    <row r="154" spans="7:7" ht="15.75" customHeight="1" x14ac:dyDescent="0.35">
      <c r="G154" s="974"/>
    </row>
    <row r="155" spans="7:7" ht="15.75" customHeight="1" x14ac:dyDescent="0.35">
      <c r="G155" s="974"/>
    </row>
    <row r="156" spans="7:7" ht="15.75" customHeight="1" x14ac:dyDescent="0.35">
      <c r="G156" s="974"/>
    </row>
    <row r="157" spans="7:7" ht="15.75" customHeight="1" x14ac:dyDescent="0.35">
      <c r="G157" s="974"/>
    </row>
    <row r="158" spans="7:7" ht="15.75" customHeight="1" x14ac:dyDescent="0.35">
      <c r="G158" s="974"/>
    </row>
    <row r="159" spans="7:7" ht="15.75" customHeight="1" x14ac:dyDescent="0.35">
      <c r="G159" s="974"/>
    </row>
    <row r="160" spans="7:7" ht="15.75" customHeight="1" x14ac:dyDescent="0.35">
      <c r="G160" s="974"/>
    </row>
    <row r="161" spans="7:7" ht="15.75" customHeight="1" x14ac:dyDescent="0.35">
      <c r="G161" s="974"/>
    </row>
    <row r="162" spans="7:7" ht="15.75" customHeight="1" x14ac:dyDescent="0.35">
      <c r="G162" s="974"/>
    </row>
    <row r="163" spans="7:7" ht="15.75" customHeight="1" x14ac:dyDescent="0.35">
      <c r="G163" s="974"/>
    </row>
    <row r="164" spans="7:7" ht="15.75" customHeight="1" x14ac:dyDescent="0.35">
      <c r="G164" s="974"/>
    </row>
    <row r="165" spans="7:7" ht="15.75" customHeight="1" x14ac:dyDescent="0.35">
      <c r="G165" s="974"/>
    </row>
    <row r="166" spans="7:7" ht="15.75" customHeight="1" x14ac:dyDescent="0.35">
      <c r="G166" s="974"/>
    </row>
    <row r="167" spans="7:7" ht="15.75" customHeight="1" x14ac:dyDescent="0.35">
      <c r="G167" s="974"/>
    </row>
    <row r="168" spans="7:7" ht="15.75" customHeight="1" x14ac:dyDescent="0.35">
      <c r="G168" s="974"/>
    </row>
    <row r="169" spans="7:7" ht="15.75" customHeight="1" x14ac:dyDescent="0.35">
      <c r="G169" s="974"/>
    </row>
    <row r="170" spans="7:7" ht="15.75" customHeight="1" x14ac:dyDescent="0.35">
      <c r="G170" s="974"/>
    </row>
    <row r="171" spans="7:7" ht="15.75" customHeight="1" x14ac:dyDescent="0.35">
      <c r="G171" s="974"/>
    </row>
    <row r="172" spans="7:7" ht="15.75" customHeight="1" x14ac:dyDescent="0.35">
      <c r="G172" s="974"/>
    </row>
    <row r="173" spans="7:7" ht="15.75" customHeight="1" x14ac:dyDescent="0.35">
      <c r="G173" s="974"/>
    </row>
    <row r="174" spans="7:7" ht="15.75" customHeight="1" x14ac:dyDescent="0.35">
      <c r="G174" s="974"/>
    </row>
    <row r="175" spans="7:7" ht="15.75" customHeight="1" x14ac:dyDescent="0.35">
      <c r="G175" s="974"/>
    </row>
    <row r="176" spans="7:7" ht="15.75" customHeight="1" x14ac:dyDescent="0.35">
      <c r="G176" s="974"/>
    </row>
    <row r="177" spans="7:7" ht="15.75" customHeight="1" x14ac:dyDescent="0.35">
      <c r="G177" s="974"/>
    </row>
    <row r="178" spans="7:7" ht="15.75" customHeight="1" x14ac:dyDescent="0.35">
      <c r="G178" s="974"/>
    </row>
    <row r="179" spans="7:7" ht="15.75" customHeight="1" x14ac:dyDescent="0.35">
      <c r="G179" s="974"/>
    </row>
    <row r="180" spans="7:7" ht="15.75" customHeight="1" x14ac:dyDescent="0.35">
      <c r="G180" s="974"/>
    </row>
    <row r="181" spans="7:7" ht="15.75" customHeight="1" x14ac:dyDescent="0.35">
      <c r="G181" s="974"/>
    </row>
    <row r="182" spans="7:7" ht="15.75" customHeight="1" x14ac:dyDescent="0.35">
      <c r="G182" s="974"/>
    </row>
    <row r="183" spans="7:7" ht="15.75" customHeight="1" x14ac:dyDescent="0.35">
      <c r="G183" s="974"/>
    </row>
    <row r="184" spans="7:7" ht="15.75" customHeight="1" x14ac:dyDescent="0.35">
      <c r="G184" s="974"/>
    </row>
    <row r="185" spans="7:7" ht="15.75" customHeight="1" x14ac:dyDescent="0.35">
      <c r="G185" s="974"/>
    </row>
    <row r="186" spans="7:7" ht="15.75" customHeight="1" x14ac:dyDescent="0.35">
      <c r="G186" s="974"/>
    </row>
    <row r="187" spans="7:7" ht="15.75" customHeight="1" x14ac:dyDescent="0.35">
      <c r="G187" s="974"/>
    </row>
    <row r="188" spans="7:7" ht="15.75" customHeight="1" x14ac:dyDescent="0.35">
      <c r="G188" s="974"/>
    </row>
    <row r="189" spans="7:7" ht="15.75" customHeight="1" x14ac:dyDescent="0.35">
      <c r="G189" s="974"/>
    </row>
    <row r="190" spans="7:7" ht="15.75" customHeight="1" x14ac:dyDescent="0.35">
      <c r="G190" s="974"/>
    </row>
    <row r="191" spans="7:7" ht="15.75" customHeight="1" x14ac:dyDescent="0.35">
      <c r="G191" s="974"/>
    </row>
    <row r="192" spans="7:7" ht="15.75" customHeight="1" x14ac:dyDescent="0.35">
      <c r="G192" s="974"/>
    </row>
    <row r="193" spans="7:7" ht="15.75" customHeight="1" x14ac:dyDescent="0.35">
      <c r="G193" s="974"/>
    </row>
    <row r="194" spans="7:7" ht="15.75" customHeight="1" x14ac:dyDescent="0.35">
      <c r="G194" s="974"/>
    </row>
    <row r="195" spans="7:7" ht="15.75" customHeight="1" x14ac:dyDescent="0.35">
      <c r="G195" s="974"/>
    </row>
    <row r="196" spans="7:7" ht="15.75" customHeight="1" x14ac:dyDescent="0.35">
      <c r="G196" s="974"/>
    </row>
    <row r="197" spans="7:7" ht="15.75" customHeight="1" x14ac:dyDescent="0.35">
      <c r="G197" s="974"/>
    </row>
    <row r="198" spans="7:7" ht="15.75" customHeight="1" x14ac:dyDescent="0.35">
      <c r="G198" s="974"/>
    </row>
    <row r="199" spans="7:7" ht="15.75" customHeight="1" x14ac:dyDescent="0.35">
      <c r="G199" s="974"/>
    </row>
    <row r="200" spans="7:7" ht="15.75" customHeight="1" x14ac:dyDescent="0.35">
      <c r="G200" s="974"/>
    </row>
    <row r="201" spans="7:7" ht="15.75" customHeight="1" x14ac:dyDescent="0.35">
      <c r="G201" s="974"/>
    </row>
    <row r="202" spans="7:7" ht="15.75" customHeight="1" x14ac:dyDescent="0.35">
      <c r="G202" s="974"/>
    </row>
    <row r="203" spans="7:7" ht="15.75" customHeight="1" x14ac:dyDescent="0.35">
      <c r="G203" s="974"/>
    </row>
    <row r="204" spans="7:7" ht="15.75" customHeight="1" x14ac:dyDescent="0.35">
      <c r="G204" s="974"/>
    </row>
    <row r="205" spans="7:7" ht="15.75" customHeight="1" x14ac:dyDescent="0.35">
      <c r="G205" s="974"/>
    </row>
    <row r="206" spans="7:7" ht="15.75" customHeight="1" x14ac:dyDescent="0.35">
      <c r="G206" s="974"/>
    </row>
    <row r="207" spans="7:7" ht="15.75" customHeight="1" x14ac:dyDescent="0.35">
      <c r="G207" s="974"/>
    </row>
    <row r="208" spans="7:7" ht="15.75" customHeight="1" x14ac:dyDescent="0.35">
      <c r="G208" s="974"/>
    </row>
    <row r="209" spans="7:7" ht="15.75" customHeight="1" x14ac:dyDescent="0.35">
      <c r="G209" s="974"/>
    </row>
    <row r="210" spans="7:7" ht="15.75" customHeight="1" x14ac:dyDescent="0.35">
      <c r="G210" s="974"/>
    </row>
    <row r="211" spans="7:7" ht="15.75" customHeight="1" x14ac:dyDescent="0.35">
      <c r="G211" s="974"/>
    </row>
    <row r="212" spans="7:7" ht="15.75" customHeight="1" x14ac:dyDescent="0.35">
      <c r="G212" s="974"/>
    </row>
    <row r="213" spans="7:7" ht="15.75" customHeight="1" x14ac:dyDescent="0.35">
      <c r="G213" s="974"/>
    </row>
    <row r="214" spans="7:7" ht="15.75" customHeight="1" x14ac:dyDescent="0.35">
      <c r="G214" s="974"/>
    </row>
    <row r="215" spans="7:7" ht="15.75" customHeight="1" x14ac:dyDescent="0.35">
      <c r="G215" s="974"/>
    </row>
    <row r="216" spans="7:7" ht="15.75" customHeight="1" x14ac:dyDescent="0.35">
      <c r="G216" s="974"/>
    </row>
    <row r="217" spans="7:7" ht="15.75" customHeight="1" x14ac:dyDescent="0.35">
      <c r="G217" s="974"/>
    </row>
    <row r="218" spans="7:7" ht="15.75" customHeight="1" x14ac:dyDescent="0.35">
      <c r="G218" s="974"/>
    </row>
    <row r="219" spans="7:7" ht="15.75" customHeight="1" x14ac:dyDescent="0.35">
      <c r="G219" s="974"/>
    </row>
    <row r="220" spans="7:7" ht="15.75" customHeight="1" x14ac:dyDescent="0.35">
      <c r="G220" s="974"/>
    </row>
    <row r="221" spans="7:7" ht="15.75" customHeight="1" x14ac:dyDescent="0.35">
      <c r="G221" s="974"/>
    </row>
    <row r="222" spans="7:7" ht="15.75" customHeight="1" x14ac:dyDescent="0.35">
      <c r="G222" s="974"/>
    </row>
    <row r="223" spans="7:7" ht="15.75" customHeight="1" x14ac:dyDescent="0.35">
      <c r="G223" s="974"/>
    </row>
    <row r="224" spans="7:7" ht="15.75" customHeight="1" x14ac:dyDescent="0.35">
      <c r="G224" s="974"/>
    </row>
    <row r="225" spans="7:7" ht="15.75" customHeight="1" x14ac:dyDescent="0.35">
      <c r="G225" s="974"/>
    </row>
    <row r="226" spans="7:7" ht="15.75" customHeight="1" x14ac:dyDescent="0.35">
      <c r="G226" s="974"/>
    </row>
    <row r="227" spans="7:7" ht="15.75" customHeight="1" x14ac:dyDescent="0.35">
      <c r="G227" s="974"/>
    </row>
    <row r="228" spans="7:7" ht="15.75" customHeight="1" x14ac:dyDescent="0.35">
      <c r="G228" s="974"/>
    </row>
    <row r="229" spans="7:7" ht="15.75" customHeight="1" x14ac:dyDescent="0.35">
      <c r="G229" s="974"/>
    </row>
    <row r="230" spans="7:7" ht="15.75" customHeight="1" x14ac:dyDescent="0.35">
      <c r="G230" s="974"/>
    </row>
    <row r="231" spans="7:7" ht="15.75" customHeight="1" x14ac:dyDescent="0.35">
      <c r="G231" s="974"/>
    </row>
    <row r="232" spans="7:7" ht="15.75" customHeight="1" x14ac:dyDescent="0.35">
      <c r="G232" s="974"/>
    </row>
    <row r="233" spans="7:7" ht="15.75" customHeight="1" x14ac:dyDescent="0.35">
      <c r="G233" s="974"/>
    </row>
    <row r="234" spans="7:7" ht="15.75" customHeight="1" x14ac:dyDescent="0.35">
      <c r="G234" s="974"/>
    </row>
    <row r="235" spans="7:7" ht="15.75" customHeight="1" x14ac:dyDescent="0.35">
      <c r="G235" s="974"/>
    </row>
    <row r="236" spans="7:7" ht="15.75" customHeight="1" x14ac:dyDescent="0.35">
      <c r="G236" s="974"/>
    </row>
    <row r="237" spans="7:7" ht="15.75" customHeight="1" x14ac:dyDescent="0.35">
      <c r="G237" s="974"/>
    </row>
    <row r="238" spans="7:7" ht="15.75" customHeight="1" x14ac:dyDescent="0.35">
      <c r="G238" s="974"/>
    </row>
    <row r="239" spans="7:7" ht="15.75" customHeight="1" x14ac:dyDescent="0.35">
      <c r="G239" s="974"/>
    </row>
    <row r="240" spans="7:7" ht="15.75" customHeight="1" x14ac:dyDescent="0.35">
      <c r="G240" s="974"/>
    </row>
    <row r="241" spans="7:7" ht="15.75" customHeight="1" x14ac:dyDescent="0.35">
      <c r="G241" s="974"/>
    </row>
    <row r="242" spans="7:7" ht="15.75" customHeight="1" x14ac:dyDescent="0.35">
      <c r="G242" s="974"/>
    </row>
    <row r="243" spans="7:7" ht="15.75" customHeight="1" x14ac:dyDescent="0.35">
      <c r="G243" s="974"/>
    </row>
    <row r="244" spans="7:7" ht="15.75" customHeight="1" x14ac:dyDescent="0.35">
      <c r="G244" s="974"/>
    </row>
    <row r="245" spans="7:7" ht="15.75" customHeight="1" x14ac:dyDescent="0.35">
      <c r="G245" s="974"/>
    </row>
    <row r="246" spans="7:7" ht="15.75" customHeight="1" x14ac:dyDescent="0.35">
      <c r="G246" s="974"/>
    </row>
    <row r="247" spans="7:7" ht="15.75" customHeight="1" x14ac:dyDescent="0.35">
      <c r="G247" s="974"/>
    </row>
    <row r="248" spans="7:7" ht="15.75" customHeight="1" x14ac:dyDescent="0.35">
      <c r="G248" s="974"/>
    </row>
    <row r="249" spans="7:7" ht="15.75" customHeight="1" x14ac:dyDescent="0.35">
      <c r="G249" s="974"/>
    </row>
    <row r="250" spans="7:7" ht="15.75" customHeight="1" x14ac:dyDescent="0.35">
      <c r="G250" s="974"/>
    </row>
    <row r="251" spans="7:7" ht="15.75" customHeight="1" x14ac:dyDescent="0.35">
      <c r="G251" s="974"/>
    </row>
    <row r="252" spans="7:7" ht="15.75" customHeight="1" x14ac:dyDescent="0.35">
      <c r="G252" s="974"/>
    </row>
    <row r="253" spans="7:7" ht="15.75" customHeight="1" x14ac:dyDescent="0.35">
      <c r="G253" s="974"/>
    </row>
    <row r="254" spans="7:7" ht="15.75" customHeight="1" x14ac:dyDescent="0.35">
      <c r="G254" s="974"/>
    </row>
    <row r="255" spans="7:7" ht="15.75" customHeight="1" x14ac:dyDescent="0.35">
      <c r="G255" s="974"/>
    </row>
    <row r="256" spans="7:7" ht="15.75" customHeight="1" x14ac:dyDescent="0.35">
      <c r="G256" s="974"/>
    </row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</sheetData>
  <mergeCells count="12">
    <mergeCell ref="B34:C34"/>
    <mergeCell ref="B42:C42"/>
    <mergeCell ref="E42:F42"/>
    <mergeCell ref="B56:C56"/>
    <mergeCell ref="B75:G75"/>
    <mergeCell ref="B32:C32"/>
    <mergeCell ref="G2:Q3"/>
    <mergeCell ref="H5:Q5"/>
    <mergeCell ref="B8:C8"/>
    <mergeCell ref="G29:Q30"/>
    <mergeCell ref="H31:L31"/>
    <mergeCell ref="N31:S31"/>
  </mergeCells>
  <conditionalFormatting sqref="A9:AE26">
    <cfRule type="notContainsBlanks" dxfId="0" priority="1">
      <formula>LEN(TRIM(A9))&gt;0</formula>
    </cfRule>
  </conditionalFormatting>
  <pageMargins left="0.7" right="0.7" top="0.75" bottom="0.75" header="0" footer="0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/>
  </sheetPr>
  <dimension ref="B1:X1027"/>
  <sheetViews>
    <sheetView workbookViewId="0">
      <selection activeCell="G6" sqref="G6"/>
    </sheetView>
  </sheetViews>
  <sheetFormatPr defaultColWidth="14.453125" defaultRowHeight="15" customHeight="1" x14ac:dyDescent="0.35"/>
  <cols>
    <col min="1" max="1" width="9.1796875" customWidth="1"/>
    <col min="3" max="3" width="31.1796875" customWidth="1"/>
    <col min="4" max="4" width="9.1796875" customWidth="1"/>
    <col min="5" max="5" width="10.1796875" customWidth="1"/>
    <col min="6" max="6" width="11.453125" customWidth="1"/>
    <col min="7" max="7" width="15.453125" style="869" customWidth="1"/>
    <col min="8" max="11" width="9.1796875" customWidth="1"/>
    <col min="12" max="12" width="10.7265625" customWidth="1"/>
    <col min="13" max="13" width="16.81640625" style="990" customWidth="1"/>
    <col min="14" max="18" width="8.54296875" customWidth="1"/>
    <col min="19" max="19" width="9.7265625" customWidth="1"/>
    <col min="20" max="20" width="9" customWidth="1"/>
    <col min="21" max="21" width="9.1796875" customWidth="1"/>
    <col min="22" max="22" width="12" customWidth="1"/>
  </cols>
  <sheetData>
    <row r="1" spans="2:19" ht="14.5" x14ac:dyDescent="0.35">
      <c r="G1" s="974"/>
    </row>
    <row r="2" spans="2:19" ht="26" x14ac:dyDescent="0.6">
      <c r="G2" s="1073" t="s">
        <v>845</v>
      </c>
      <c r="H2" s="1065"/>
      <c r="I2" s="1065"/>
      <c r="J2" s="1065"/>
      <c r="K2" s="1065"/>
      <c r="L2" s="1065"/>
      <c r="M2" s="1065"/>
      <c r="N2" s="1065"/>
      <c r="O2" s="1065"/>
      <c r="P2" s="1065"/>
      <c r="Q2" s="1074"/>
      <c r="R2" s="591"/>
    </row>
    <row r="3" spans="2:19" ht="26" x14ac:dyDescent="0.6">
      <c r="G3" s="1075"/>
      <c r="H3" s="1076"/>
      <c r="I3" s="1076"/>
      <c r="J3" s="1076"/>
      <c r="K3" s="1076"/>
      <c r="L3" s="1076"/>
      <c r="M3" s="1076"/>
      <c r="N3" s="1076"/>
      <c r="O3" s="1076"/>
      <c r="P3" s="1076"/>
      <c r="Q3" s="1077"/>
      <c r="R3" s="591"/>
    </row>
    <row r="4" spans="2:19" ht="14.5" x14ac:dyDescent="0.35">
      <c r="G4" s="974"/>
      <c r="L4" s="2"/>
      <c r="M4" s="991"/>
      <c r="N4" s="235"/>
      <c r="O4" s="235"/>
      <c r="P4" s="235"/>
    </row>
    <row r="5" spans="2:19" ht="30" x14ac:dyDescent="0.45">
      <c r="B5" s="630"/>
      <c r="C5" s="630"/>
      <c r="D5" s="630"/>
      <c r="E5" s="630"/>
      <c r="F5" s="630"/>
      <c r="G5" s="988"/>
      <c r="H5" s="709">
        <v>1018</v>
      </c>
      <c r="I5" s="710">
        <v>3020</v>
      </c>
      <c r="J5" s="711">
        <v>5015</v>
      </c>
      <c r="K5" s="712">
        <v>9005</v>
      </c>
      <c r="L5" s="713" t="s">
        <v>692</v>
      </c>
      <c r="M5" s="992" t="s">
        <v>693</v>
      </c>
      <c r="N5" s="714" t="s">
        <v>694</v>
      </c>
      <c r="O5" s="715">
        <v>4008</v>
      </c>
      <c r="P5" s="716">
        <v>4005</v>
      </c>
      <c r="Q5" s="717" t="s">
        <v>695</v>
      </c>
      <c r="R5" s="718" t="s">
        <v>536</v>
      </c>
      <c r="S5" s="718" t="s">
        <v>23</v>
      </c>
    </row>
    <row r="6" spans="2:19" ht="37.5" customHeight="1" x14ac:dyDescent="0.45">
      <c r="B6" s="1072" t="s">
        <v>846</v>
      </c>
      <c r="C6" s="1056"/>
      <c r="D6" s="606">
        <v>18</v>
      </c>
      <c r="E6" s="606"/>
      <c r="F6" s="606" t="s">
        <v>559</v>
      </c>
      <c r="G6" s="607">
        <v>3498.5</v>
      </c>
      <c r="H6" s="709"/>
      <c r="I6" s="710"/>
      <c r="J6" s="711"/>
      <c r="K6" s="712"/>
      <c r="L6" s="713"/>
      <c r="M6" s="992"/>
      <c r="N6" s="714"/>
      <c r="O6" s="715"/>
      <c r="P6" s="716"/>
      <c r="Q6" s="717"/>
      <c r="R6" s="719">
        <f>SUM(H6:Q6)*D6</f>
        <v>0</v>
      </c>
      <c r="S6" s="720">
        <f>SUM(H6:Q6)*G6</f>
        <v>0</v>
      </c>
    </row>
    <row r="7" spans="2:19" ht="14.5" x14ac:dyDescent="0.35">
      <c r="B7" s="721" t="s">
        <v>697</v>
      </c>
      <c r="D7" s="556">
        <v>1</v>
      </c>
      <c r="E7" s="133"/>
      <c r="F7" s="721" t="s">
        <v>698</v>
      </c>
      <c r="G7" s="635">
        <v>89.61</v>
      </c>
      <c r="H7" s="207"/>
      <c r="I7" s="22"/>
      <c r="J7" s="23"/>
      <c r="K7" s="24"/>
      <c r="L7" s="621"/>
      <c r="M7" s="993"/>
      <c r="N7" s="622"/>
      <c r="O7" s="28"/>
      <c r="P7" s="34"/>
      <c r="Q7" s="624"/>
      <c r="R7" s="556">
        <f t="shared" ref="R7:R24" si="0">SUM(H7:Q7)</f>
        <v>0</v>
      </c>
      <c r="S7" s="625">
        <f t="shared" ref="S7:S24" si="1">R7*G7</f>
        <v>0</v>
      </c>
    </row>
    <row r="8" spans="2:19" ht="14.5" x14ac:dyDescent="0.35">
      <c r="B8" s="722" t="s">
        <v>699</v>
      </c>
      <c r="D8" s="668">
        <v>1</v>
      </c>
      <c r="E8" s="133"/>
      <c r="F8" s="722" t="s">
        <v>700</v>
      </c>
      <c r="G8" s="635">
        <v>89.61</v>
      </c>
      <c r="H8" s="507"/>
      <c r="I8" s="508"/>
      <c r="J8" s="509"/>
      <c r="K8" s="510"/>
      <c r="L8" s="628"/>
      <c r="M8" s="993"/>
      <c r="N8" s="622"/>
      <c r="O8" s="28"/>
      <c r="P8" s="34"/>
      <c r="Q8" s="629"/>
      <c r="R8" s="556">
        <f t="shared" si="0"/>
        <v>0</v>
      </c>
      <c r="S8" s="625">
        <f t="shared" si="1"/>
        <v>0</v>
      </c>
    </row>
    <row r="9" spans="2:19" ht="14.5" x14ac:dyDescent="0.35">
      <c r="B9" s="722" t="s">
        <v>701</v>
      </c>
      <c r="D9" s="668">
        <v>1</v>
      </c>
      <c r="E9" s="133"/>
      <c r="F9" s="722" t="s">
        <v>702</v>
      </c>
      <c r="G9" s="635">
        <v>129.78</v>
      </c>
      <c r="H9" s="507"/>
      <c r="I9" s="508"/>
      <c r="J9" s="509"/>
      <c r="K9" s="510"/>
      <c r="L9" s="628"/>
      <c r="M9" s="993"/>
      <c r="N9" s="622"/>
      <c r="O9" s="28"/>
      <c r="P9" s="34"/>
      <c r="Q9" s="629"/>
      <c r="R9" s="556">
        <f t="shared" si="0"/>
        <v>0</v>
      </c>
      <c r="S9" s="625">
        <f t="shared" si="1"/>
        <v>0</v>
      </c>
    </row>
    <row r="10" spans="2:19" ht="14.5" x14ac:dyDescent="0.35">
      <c r="B10" s="722" t="s">
        <v>703</v>
      </c>
      <c r="D10" s="668">
        <v>1</v>
      </c>
      <c r="E10" s="133"/>
      <c r="F10" s="722" t="s">
        <v>704</v>
      </c>
      <c r="G10" s="635">
        <v>129.78</v>
      </c>
      <c r="H10" s="507"/>
      <c r="I10" s="508"/>
      <c r="J10" s="509"/>
      <c r="K10" s="510"/>
      <c r="L10" s="628"/>
      <c r="M10" s="993"/>
      <c r="N10" s="622"/>
      <c r="O10" s="28"/>
      <c r="P10" s="34"/>
      <c r="Q10" s="629"/>
      <c r="R10" s="556">
        <f t="shared" si="0"/>
        <v>0</v>
      </c>
      <c r="S10" s="625">
        <f t="shared" si="1"/>
        <v>0</v>
      </c>
    </row>
    <row r="11" spans="2:19" ht="14.5" x14ac:dyDescent="0.35">
      <c r="B11" s="722" t="s">
        <v>705</v>
      </c>
      <c r="D11" s="668">
        <v>1</v>
      </c>
      <c r="E11" s="133"/>
      <c r="F11" s="722" t="s">
        <v>706</v>
      </c>
      <c r="G11" s="635">
        <v>129.78</v>
      </c>
      <c r="H11" s="507"/>
      <c r="I11" s="508"/>
      <c r="J11" s="509"/>
      <c r="K11" s="510"/>
      <c r="L11" s="628"/>
      <c r="M11" s="993"/>
      <c r="N11" s="622"/>
      <c r="O11" s="28"/>
      <c r="P11" s="34"/>
      <c r="Q11" s="629"/>
      <c r="R11" s="556">
        <f t="shared" si="0"/>
        <v>0</v>
      </c>
      <c r="S11" s="625">
        <f t="shared" si="1"/>
        <v>0</v>
      </c>
    </row>
    <row r="12" spans="2:19" ht="14.5" x14ac:dyDescent="0.35">
      <c r="B12" s="722" t="s">
        <v>707</v>
      </c>
      <c r="D12" s="668">
        <v>1</v>
      </c>
      <c r="E12" s="133"/>
      <c r="F12" s="722" t="s">
        <v>708</v>
      </c>
      <c r="G12" s="635">
        <v>129.78</v>
      </c>
      <c r="H12" s="507"/>
      <c r="I12" s="508"/>
      <c r="J12" s="509"/>
      <c r="K12" s="510"/>
      <c r="L12" s="628"/>
      <c r="M12" s="993"/>
      <c r="N12" s="622"/>
      <c r="O12" s="28"/>
      <c r="P12" s="34"/>
      <c r="Q12" s="629"/>
      <c r="R12" s="556">
        <f t="shared" si="0"/>
        <v>0</v>
      </c>
      <c r="S12" s="625">
        <f t="shared" si="1"/>
        <v>0</v>
      </c>
    </row>
    <row r="13" spans="2:19" ht="14.5" x14ac:dyDescent="0.35">
      <c r="B13" s="722" t="s">
        <v>709</v>
      </c>
      <c r="D13" s="668">
        <v>1</v>
      </c>
      <c r="E13" s="133"/>
      <c r="F13" s="722" t="s">
        <v>710</v>
      </c>
      <c r="G13" s="635">
        <v>210.12</v>
      </c>
      <c r="H13" s="507"/>
      <c r="I13" s="508"/>
      <c r="J13" s="509"/>
      <c r="K13" s="510"/>
      <c r="L13" s="628"/>
      <c r="M13" s="993"/>
      <c r="N13" s="622"/>
      <c r="O13" s="28"/>
      <c r="P13" s="34"/>
      <c r="Q13" s="629"/>
      <c r="R13" s="556">
        <f t="shared" si="0"/>
        <v>0</v>
      </c>
      <c r="S13" s="625">
        <f t="shared" si="1"/>
        <v>0</v>
      </c>
    </row>
    <row r="14" spans="2:19" ht="14.5" x14ac:dyDescent="0.35">
      <c r="B14" s="722" t="s">
        <v>711</v>
      </c>
      <c r="D14" s="668">
        <v>1</v>
      </c>
      <c r="E14" s="133"/>
      <c r="F14" s="722" t="s">
        <v>712</v>
      </c>
      <c r="G14" s="635">
        <v>210.12</v>
      </c>
      <c r="H14" s="507"/>
      <c r="I14" s="508"/>
      <c r="J14" s="509"/>
      <c r="K14" s="510"/>
      <c r="L14" s="628"/>
      <c r="M14" s="993"/>
      <c r="N14" s="622"/>
      <c r="O14" s="28"/>
      <c r="P14" s="34"/>
      <c r="Q14" s="629"/>
      <c r="R14" s="556">
        <f t="shared" si="0"/>
        <v>0</v>
      </c>
      <c r="S14" s="625">
        <f t="shared" si="1"/>
        <v>0</v>
      </c>
    </row>
    <row r="15" spans="2:19" ht="14.5" x14ac:dyDescent="0.35">
      <c r="B15" s="722" t="s">
        <v>713</v>
      </c>
      <c r="D15" s="668">
        <v>1</v>
      </c>
      <c r="E15" s="133"/>
      <c r="F15" s="722" t="s">
        <v>714</v>
      </c>
      <c r="G15" s="635">
        <v>210.12</v>
      </c>
      <c r="H15" s="507"/>
      <c r="I15" s="508"/>
      <c r="J15" s="509"/>
      <c r="K15" s="510"/>
      <c r="L15" s="628"/>
      <c r="M15" s="993"/>
      <c r="N15" s="622"/>
      <c r="O15" s="28"/>
      <c r="P15" s="34"/>
      <c r="Q15" s="629"/>
      <c r="R15" s="556">
        <f t="shared" si="0"/>
        <v>0</v>
      </c>
      <c r="S15" s="625">
        <f t="shared" si="1"/>
        <v>0</v>
      </c>
    </row>
    <row r="16" spans="2:19" ht="14.5" x14ac:dyDescent="0.35">
      <c r="B16" s="722" t="s">
        <v>715</v>
      </c>
      <c r="D16" s="668">
        <v>1</v>
      </c>
      <c r="E16" s="133"/>
      <c r="F16" s="722" t="s">
        <v>716</v>
      </c>
      <c r="G16" s="635">
        <v>210.12</v>
      </c>
      <c r="H16" s="507"/>
      <c r="I16" s="508"/>
      <c r="J16" s="509"/>
      <c r="K16" s="510"/>
      <c r="L16" s="628"/>
      <c r="M16" s="993"/>
      <c r="N16" s="622"/>
      <c r="O16" s="28"/>
      <c r="P16" s="34"/>
      <c r="Q16" s="629"/>
      <c r="R16" s="556">
        <f t="shared" si="0"/>
        <v>0</v>
      </c>
      <c r="S16" s="625">
        <f t="shared" si="1"/>
        <v>0</v>
      </c>
    </row>
    <row r="17" spans="2:22" ht="14.5" x14ac:dyDescent="0.35">
      <c r="B17" s="722" t="s">
        <v>717</v>
      </c>
      <c r="D17" s="668">
        <v>1</v>
      </c>
      <c r="E17" s="133"/>
      <c r="F17" s="722" t="s">
        <v>718</v>
      </c>
      <c r="G17" s="635">
        <v>210.12</v>
      </c>
      <c r="H17" s="507"/>
      <c r="I17" s="508"/>
      <c r="J17" s="509"/>
      <c r="K17" s="510"/>
      <c r="L17" s="628"/>
      <c r="M17" s="993"/>
      <c r="N17" s="622"/>
      <c r="O17" s="28"/>
      <c r="P17" s="34"/>
      <c r="Q17" s="629"/>
      <c r="R17" s="556">
        <f t="shared" si="0"/>
        <v>0</v>
      </c>
      <c r="S17" s="625">
        <f t="shared" si="1"/>
        <v>0</v>
      </c>
    </row>
    <row r="18" spans="2:22" ht="14.5" x14ac:dyDescent="0.35">
      <c r="B18" s="722" t="s">
        <v>719</v>
      </c>
      <c r="D18" s="668">
        <v>1</v>
      </c>
      <c r="E18" s="133"/>
      <c r="F18" s="722" t="s">
        <v>720</v>
      </c>
      <c r="G18" s="635">
        <v>284.28000000000003</v>
      </c>
      <c r="H18" s="507"/>
      <c r="I18" s="508"/>
      <c r="J18" s="509"/>
      <c r="K18" s="510"/>
      <c r="L18" s="628"/>
      <c r="M18" s="993"/>
      <c r="N18" s="622"/>
      <c r="O18" s="28"/>
      <c r="P18" s="34"/>
      <c r="Q18" s="629"/>
      <c r="R18" s="556">
        <f t="shared" si="0"/>
        <v>0</v>
      </c>
      <c r="S18" s="625">
        <f t="shared" si="1"/>
        <v>0</v>
      </c>
    </row>
    <row r="19" spans="2:22" ht="14.5" x14ac:dyDescent="0.35">
      <c r="B19" s="722" t="s">
        <v>721</v>
      </c>
      <c r="D19" s="668">
        <v>1</v>
      </c>
      <c r="E19" s="133"/>
      <c r="F19" s="722" t="s">
        <v>722</v>
      </c>
      <c r="G19" s="635">
        <v>284.28000000000003</v>
      </c>
      <c r="H19" s="507"/>
      <c r="I19" s="508"/>
      <c r="J19" s="509"/>
      <c r="K19" s="510"/>
      <c r="L19" s="628"/>
      <c r="M19" s="993"/>
      <c r="N19" s="622"/>
      <c r="O19" s="28"/>
      <c r="P19" s="34"/>
      <c r="Q19" s="629"/>
      <c r="R19" s="556">
        <f t="shared" si="0"/>
        <v>0</v>
      </c>
      <c r="S19" s="625">
        <f t="shared" si="1"/>
        <v>0</v>
      </c>
    </row>
    <row r="20" spans="2:22" ht="14.5" x14ac:dyDescent="0.35">
      <c r="B20" s="722" t="s">
        <v>723</v>
      </c>
      <c r="D20" s="668">
        <v>1</v>
      </c>
      <c r="E20" s="133"/>
      <c r="F20" s="722" t="s">
        <v>724</v>
      </c>
      <c r="G20" s="635">
        <v>284.28000000000003</v>
      </c>
      <c r="H20" s="507"/>
      <c r="I20" s="508"/>
      <c r="J20" s="509"/>
      <c r="K20" s="510"/>
      <c r="L20" s="628"/>
      <c r="M20" s="993"/>
      <c r="N20" s="622"/>
      <c r="O20" s="28"/>
      <c r="P20" s="34"/>
      <c r="Q20" s="629"/>
      <c r="R20" s="556">
        <f t="shared" si="0"/>
        <v>0</v>
      </c>
      <c r="S20" s="625">
        <f t="shared" si="1"/>
        <v>0</v>
      </c>
    </row>
    <row r="21" spans="2:22" ht="14.5" x14ac:dyDescent="0.35">
      <c r="B21" s="722" t="s">
        <v>725</v>
      </c>
      <c r="D21" s="668">
        <v>1</v>
      </c>
      <c r="E21" s="133"/>
      <c r="F21" s="722" t="s">
        <v>726</v>
      </c>
      <c r="G21" s="635">
        <v>284.28000000000003</v>
      </c>
      <c r="H21" s="507"/>
      <c r="I21" s="508"/>
      <c r="J21" s="509"/>
      <c r="K21" s="510"/>
      <c r="L21" s="628"/>
      <c r="M21" s="993"/>
      <c r="N21" s="622"/>
      <c r="O21" s="28"/>
      <c r="P21" s="34"/>
      <c r="Q21" s="629"/>
      <c r="R21" s="556">
        <f t="shared" si="0"/>
        <v>0</v>
      </c>
      <c r="S21" s="625">
        <f t="shared" si="1"/>
        <v>0</v>
      </c>
    </row>
    <row r="22" spans="2:22" ht="14.5" x14ac:dyDescent="0.35">
      <c r="B22" s="722" t="s">
        <v>727</v>
      </c>
      <c r="D22" s="668">
        <v>1</v>
      </c>
      <c r="E22" s="133"/>
      <c r="F22" s="722" t="s">
        <v>728</v>
      </c>
      <c r="G22" s="635">
        <v>259.56</v>
      </c>
      <c r="H22" s="507"/>
      <c r="I22" s="508"/>
      <c r="J22" s="509"/>
      <c r="K22" s="510"/>
      <c r="L22" s="628"/>
      <c r="M22" s="993"/>
      <c r="N22" s="622"/>
      <c r="O22" s="28"/>
      <c r="P22" s="34"/>
      <c r="Q22" s="629"/>
      <c r="R22" s="556">
        <f t="shared" si="0"/>
        <v>0</v>
      </c>
      <c r="S22" s="625">
        <f t="shared" si="1"/>
        <v>0</v>
      </c>
    </row>
    <row r="23" spans="2:22" ht="14.5" x14ac:dyDescent="0.35">
      <c r="B23" s="722" t="s">
        <v>729</v>
      </c>
      <c r="D23" s="668">
        <v>1</v>
      </c>
      <c r="E23" s="133"/>
      <c r="F23" s="722" t="s">
        <v>730</v>
      </c>
      <c r="G23" s="635">
        <v>370.8</v>
      </c>
      <c r="H23" s="507"/>
      <c r="I23" s="508"/>
      <c r="J23" s="509"/>
      <c r="K23" s="510"/>
      <c r="L23" s="628"/>
      <c r="M23" s="993"/>
      <c r="N23" s="622"/>
      <c r="O23" s="28"/>
      <c r="P23" s="34"/>
      <c r="Q23" s="629"/>
      <c r="R23" s="556">
        <f t="shared" si="0"/>
        <v>0</v>
      </c>
      <c r="S23" s="625">
        <f t="shared" si="1"/>
        <v>0</v>
      </c>
    </row>
    <row r="24" spans="2:22" ht="14.5" x14ac:dyDescent="0.35">
      <c r="B24" s="722" t="s">
        <v>731</v>
      </c>
      <c r="D24" s="668">
        <v>1</v>
      </c>
      <c r="E24" s="133"/>
      <c r="F24" s="722" t="s">
        <v>732</v>
      </c>
      <c r="G24" s="635">
        <v>370.8</v>
      </c>
      <c r="H24" s="507"/>
      <c r="I24" s="508"/>
      <c r="J24" s="509"/>
      <c r="K24" s="510"/>
      <c r="L24" s="628"/>
      <c r="M24" s="993"/>
      <c r="N24" s="622"/>
      <c r="O24" s="28"/>
      <c r="P24" s="34"/>
      <c r="Q24" s="723"/>
      <c r="R24" s="724">
        <f t="shared" si="0"/>
        <v>0</v>
      </c>
      <c r="S24" s="725">
        <f t="shared" si="1"/>
        <v>0</v>
      </c>
    </row>
    <row r="25" spans="2:22" ht="17" x14ac:dyDescent="0.4">
      <c r="F25" s="1088" t="s">
        <v>847</v>
      </c>
      <c r="G25" s="1042"/>
      <c r="H25" s="703">
        <f t="shared" ref="H25:Q25" si="2">SUM(H7:H24)+(H6*$D$6)</f>
        <v>0</v>
      </c>
      <c r="I25" s="703">
        <f t="shared" si="2"/>
        <v>0</v>
      </c>
      <c r="J25" s="703">
        <f t="shared" si="2"/>
        <v>0</v>
      </c>
      <c r="K25" s="703">
        <f t="shared" si="2"/>
        <v>0</v>
      </c>
      <c r="L25" s="703">
        <f t="shared" si="2"/>
        <v>0</v>
      </c>
      <c r="M25" s="994">
        <f t="shared" si="2"/>
        <v>0</v>
      </c>
      <c r="N25" s="703">
        <f t="shared" si="2"/>
        <v>0</v>
      </c>
      <c r="O25" s="703">
        <f t="shared" si="2"/>
        <v>0</v>
      </c>
      <c r="P25" s="703">
        <f t="shared" si="2"/>
        <v>0</v>
      </c>
      <c r="Q25" s="703">
        <f t="shared" si="2"/>
        <v>0</v>
      </c>
      <c r="R25" s="726">
        <f t="shared" ref="R25:S25" si="3">SUM(R6:R24)</f>
        <v>0</v>
      </c>
      <c r="S25" s="727">
        <f t="shared" si="3"/>
        <v>0</v>
      </c>
    </row>
    <row r="26" spans="2:22" ht="14.5" x14ac:dyDescent="0.35">
      <c r="G26" s="974"/>
      <c r="L26" s="2"/>
      <c r="M26" s="991"/>
      <c r="N26" s="235"/>
      <c r="O26" s="235"/>
      <c r="P26" s="235"/>
    </row>
    <row r="27" spans="2:22" ht="14.5" x14ac:dyDescent="0.35">
      <c r="G27" s="1073" t="s">
        <v>848</v>
      </c>
      <c r="H27" s="1065"/>
      <c r="I27" s="1065"/>
      <c r="J27" s="1065"/>
      <c r="K27" s="1065"/>
      <c r="L27" s="1065"/>
      <c r="M27" s="1065"/>
      <c r="N27" s="1065"/>
      <c r="O27" s="1065"/>
      <c r="P27" s="1065"/>
      <c r="Q27" s="1074"/>
    </row>
    <row r="28" spans="2:22" ht="14.5" x14ac:dyDescent="0.35">
      <c r="G28" s="1075"/>
      <c r="H28" s="1076"/>
      <c r="I28" s="1076"/>
      <c r="J28" s="1076"/>
      <c r="K28" s="1076"/>
      <c r="L28" s="1076"/>
      <c r="M28" s="1076"/>
      <c r="N28" s="1076"/>
      <c r="O28" s="1076"/>
      <c r="P28" s="1076"/>
      <c r="Q28" s="1077"/>
    </row>
    <row r="29" spans="2:22" ht="14.5" x14ac:dyDescent="0.35">
      <c r="G29" s="974"/>
      <c r="L29" s="2"/>
      <c r="M29" s="991"/>
      <c r="N29" s="235" t="s">
        <v>849</v>
      </c>
      <c r="O29" s="235" t="s">
        <v>849</v>
      </c>
      <c r="P29" s="235" t="s">
        <v>849</v>
      </c>
    </row>
    <row r="30" spans="2:22" ht="14.5" x14ac:dyDescent="0.35">
      <c r="B30" s="92" t="s">
        <v>15</v>
      </c>
      <c r="C30" s="93" t="s">
        <v>16</v>
      </c>
      <c r="D30" s="94" t="s">
        <v>17</v>
      </c>
      <c r="E30" s="94" t="s">
        <v>535</v>
      </c>
      <c r="F30" s="94" t="s">
        <v>18</v>
      </c>
      <c r="G30" s="865" t="s">
        <v>690</v>
      </c>
      <c r="H30" s="1089" t="s">
        <v>850</v>
      </c>
      <c r="I30" s="1090"/>
      <c r="J30" s="1090"/>
      <c r="K30" s="1090"/>
      <c r="L30" s="1083"/>
      <c r="M30" s="995" t="s">
        <v>851</v>
      </c>
      <c r="N30" s="1089" t="s">
        <v>850</v>
      </c>
      <c r="O30" s="1090"/>
      <c r="P30" s="1090"/>
      <c r="Q30" s="1090"/>
      <c r="R30" s="1090"/>
      <c r="S30" s="1083"/>
      <c r="T30" s="35" t="s">
        <v>536</v>
      </c>
      <c r="U30" s="36" t="s">
        <v>22</v>
      </c>
      <c r="V30" s="37" t="s">
        <v>23</v>
      </c>
    </row>
    <row r="31" spans="2:22" ht="14.5" x14ac:dyDescent="0.35">
      <c r="B31" s="235"/>
      <c r="C31" s="235"/>
      <c r="D31" s="235"/>
      <c r="E31" s="235"/>
      <c r="F31" s="235"/>
      <c r="G31" s="989"/>
      <c r="H31" s="507">
        <v>1018</v>
      </c>
      <c r="I31" s="508">
        <v>3020</v>
      </c>
      <c r="J31" s="509">
        <v>5015</v>
      </c>
      <c r="K31" s="510">
        <v>9005</v>
      </c>
      <c r="L31" s="628" t="s">
        <v>692</v>
      </c>
      <c r="M31" s="996"/>
      <c r="N31" s="728">
        <v>2005</v>
      </c>
      <c r="O31" s="729">
        <v>6038</v>
      </c>
      <c r="P31" s="730">
        <v>3017</v>
      </c>
      <c r="Q31" s="511">
        <v>4008</v>
      </c>
      <c r="R31" s="513">
        <v>4005</v>
      </c>
      <c r="S31" s="514">
        <v>6001</v>
      </c>
      <c r="T31" s="718"/>
      <c r="U31" s="718"/>
      <c r="V31" s="718"/>
    </row>
    <row r="32" spans="2:22" ht="21" x14ac:dyDescent="0.5">
      <c r="B32" s="630"/>
      <c r="C32" s="631"/>
      <c r="D32" s="632"/>
      <c r="E32" s="133"/>
      <c r="F32" s="633"/>
      <c r="G32" s="982"/>
      <c r="H32" s="603"/>
      <c r="I32" s="603"/>
      <c r="J32" s="603"/>
      <c r="K32" s="603"/>
      <c r="L32" s="603"/>
      <c r="M32" s="997"/>
      <c r="N32" s="603"/>
      <c r="O32" s="603"/>
      <c r="P32" s="603"/>
      <c r="Q32" s="603"/>
      <c r="R32" s="603"/>
      <c r="S32" s="603"/>
      <c r="T32" s="603"/>
      <c r="U32" s="604"/>
      <c r="V32" s="605"/>
    </row>
    <row r="33" spans="2:24" ht="21" x14ac:dyDescent="0.5">
      <c r="B33" s="1087" t="s">
        <v>852</v>
      </c>
      <c r="C33" s="1034"/>
      <c r="D33" s="731">
        <v>18</v>
      </c>
      <c r="E33" s="74"/>
      <c r="F33" s="732"/>
      <c r="G33" s="733">
        <f>G35+G43</f>
        <v>2659.06</v>
      </c>
      <c r="H33" s="531"/>
      <c r="I33" s="532"/>
      <c r="J33" s="533"/>
      <c r="K33" s="534"/>
      <c r="L33" s="734"/>
      <c r="M33" s="998">
        <f>M35+M43</f>
        <v>2775.91</v>
      </c>
      <c r="N33" s="735"/>
      <c r="O33" s="665"/>
      <c r="P33" s="666"/>
      <c r="Q33" s="535"/>
      <c r="R33" s="575"/>
      <c r="S33" s="667"/>
      <c r="T33" s="530">
        <f>(SUM(H33:L33)+SUM(N33:S33))*$D$33</f>
        <v>0</v>
      </c>
      <c r="U33" s="530"/>
      <c r="V33" s="736">
        <f>(M33*SUM(N33:S33))+G33*(SUM(H33:L33))</f>
        <v>0</v>
      </c>
    </row>
    <row r="34" spans="2:24" ht="29.25" customHeight="1" x14ac:dyDescent="0.35">
      <c r="X34" s="703" t="s">
        <v>853</v>
      </c>
    </row>
    <row r="35" spans="2:24" ht="29.25" customHeight="1" x14ac:dyDescent="0.45">
      <c r="B35" s="737" t="s">
        <v>854</v>
      </c>
      <c r="C35" s="738"/>
      <c r="D35" s="650">
        <v>6</v>
      </c>
      <c r="E35" s="650"/>
      <c r="F35" s="637" t="s">
        <v>742</v>
      </c>
      <c r="G35" s="739">
        <v>998</v>
      </c>
      <c r="H35" s="652"/>
      <c r="I35" s="577"/>
      <c r="J35" s="578"/>
      <c r="K35" s="653"/>
      <c r="L35" s="654"/>
      <c r="M35" s="999">
        <v>1027.43</v>
      </c>
      <c r="N35" s="655"/>
      <c r="O35" s="646"/>
      <c r="P35" s="647"/>
      <c r="Q35" s="580"/>
      <c r="R35" s="656"/>
      <c r="S35" s="648"/>
      <c r="T35" s="570">
        <f>(SUM(H35:L35)+SUM(N35:S35))*6</f>
        <v>0</v>
      </c>
      <c r="U35" s="570"/>
      <c r="V35" s="649">
        <f>(M35*SUM(N35:S35))+G35*(SUM(H35:L35))</f>
        <v>0</v>
      </c>
    </row>
    <row r="36" spans="2:24" ht="69.75" customHeight="1" x14ac:dyDescent="0.35">
      <c r="B36" s="683" t="s">
        <v>855</v>
      </c>
      <c r="C36" s="555"/>
      <c r="D36" s="556">
        <v>1</v>
      </c>
      <c r="E36" s="556" t="s">
        <v>744</v>
      </c>
      <c r="F36" s="557" t="s">
        <v>745</v>
      </c>
      <c r="G36" s="868">
        <v>180.25</v>
      </c>
      <c r="H36" s="558"/>
      <c r="I36" s="559"/>
      <c r="J36" s="560"/>
      <c r="K36" s="587"/>
      <c r="L36" s="658"/>
      <c r="M36" s="1000">
        <v>180.25</v>
      </c>
      <c r="N36" s="659"/>
      <c r="O36" s="660"/>
      <c r="P36" s="661"/>
      <c r="Q36" s="562"/>
      <c r="R36" s="564"/>
      <c r="S36" s="662"/>
      <c r="T36" s="556">
        <f t="shared" ref="T36:T41" si="4">SUM(H36:L36)+SUM(N36:S36)</f>
        <v>0</v>
      </c>
      <c r="U36" s="556"/>
      <c r="V36" s="566">
        <f t="shared" ref="V36:V41" si="5">T36*G36</f>
        <v>0</v>
      </c>
    </row>
    <row r="37" spans="2:24" ht="69.75" customHeight="1" x14ac:dyDescent="0.35">
      <c r="B37" s="657" t="s">
        <v>856</v>
      </c>
      <c r="C37" s="74"/>
      <c r="D37" s="530">
        <v>1</v>
      </c>
      <c r="E37" s="530" t="s">
        <v>747</v>
      </c>
      <c r="F37" s="40" t="s">
        <v>748</v>
      </c>
      <c r="G37" s="868">
        <v>180.25</v>
      </c>
      <c r="H37" s="531"/>
      <c r="I37" s="532"/>
      <c r="J37" s="533"/>
      <c r="K37" s="534"/>
      <c r="L37" s="663"/>
      <c r="M37" s="1000">
        <v>180.25</v>
      </c>
      <c r="N37" s="664"/>
      <c r="O37" s="665"/>
      <c r="P37" s="666"/>
      <c r="Q37" s="535"/>
      <c r="R37" s="537"/>
      <c r="S37" s="667"/>
      <c r="T37" s="668">
        <f t="shared" si="4"/>
        <v>0</v>
      </c>
      <c r="U37" s="530"/>
      <c r="V37" s="567">
        <f t="shared" si="5"/>
        <v>0</v>
      </c>
    </row>
    <row r="38" spans="2:24" ht="69.75" customHeight="1" x14ac:dyDescent="0.35">
      <c r="B38" s="657" t="s">
        <v>857</v>
      </c>
      <c r="C38" s="74"/>
      <c r="D38" s="530">
        <v>1</v>
      </c>
      <c r="E38" s="530" t="s">
        <v>750</v>
      </c>
      <c r="F38" s="40" t="s">
        <v>751</v>
      </c>
      <c r="G38" s="868">
        <v>180.25</v>
      </c>
      <c r="H38" s="531"/>
      <c r="I38" s="532"/>
      <c r="J38" s="533"/>
      <c r="K38" s="534"/>
      <c r="L38" s="663"/>
      <c r="M38" s="1000">
        <v>180.25</v>
      </c>
      <c r="N38" s="664"/>
      <c r="O38" s="665"/>
      <c r="P38" s="666"/>
      <c r="Q38" s="535"/>
      <c r="R38" s="537"/>
      <c r="S38" s="667"/>
      <c r="T38" s="668">
        <f t="shared" si="4"/>
        <v>0</v>
      </c>
      <c r="U38" s="530"/>
      <c r="V38" s="567">
        <f t="shared" si="5"/>
        <v>0</v>
      </c>
    </row>
    <row r="39" spans="2:24" ht="69.75" customHeight="1" x14ac:dyDescent="0.35">
      <c r="B39" s="657" t="s">
        <v>858</v>
      </c>
      <c r="C39" s="74"/>
      <c r="D39" s="530">
        <v>1</v>
      </c>
      <c r="E39" s="530" t="s">
        <v>753</v>
      </c>
      <c r="F39" s="40" t="s">
        <v>754</v>
      </c>
      <c r="G39" s="868">
        <v>180.25</v>
      </c>
      <c r="H39" s="531"/>
      <c r="I39" s="532"/>
      <c r="J39" s="533"/>
      <c r="K39" s="534"/>
      <c r="L39" s="663"/>
      <c r="M39" s="1000">
        <v>180.25</v>
      </c>
      <c r="N39" s="664"/>
      <c r="O39" s="665"/>
      <c r="P39" s="666"/>
      <c r="Q39" s="535"/>
      <c r="R39" s="537"/>
      <c r="S39" s="667"/>
      <c r="T39" s="668">
        <f t="shared" si="4"/>
        <v>0</v>
      </c>
      <c r="U39" s="530"/>
      <c r="V39" s="567">
        <f t="shared" si="5"/>
        <v>0</v>
      </c>
    </row>
    <row r="40" spans="2:24" ht="69.75" customHeight="1" x14ac:dyDescent="0.35">
      <c r="B40" s="657" t="s">
        <v>859</v>
      </c>
      <c r="C40" s="74"/>
      <c r="D40" s="530">
        <v>1</v>
      </c>
      <c r="E40" s="530" t="s">
        <v>756</v>
      </c>
      <c r="F40" s="40" t="s">
        <v>757</v>
      </c>
      <c r="G40" s="868">
        <v>180.25</v>
      </c>
      <c r="H40" s="531"/>
      <c r="I40" s="532"/>
      <c r="J40" s="533"/>
      <c r="K40" s="534"/>
      <c r="L40" s="663"/>
      <c r="M40" s="1000">
        <v>180.25</v>
      </c>
      <c r="N40" s="664"/>
      <c r="O40" s="665"/>
      <c r="P40" s="666"/>
      <c r="Q40" s="535"/>
      <c r="R40" s="537"/>
      <c r="S40" s="667"/>
      <c r="T40" s="668">
        <f t="shared" si="4"/>
        <v>0</v>
      </c>
      <c r="U40" s="530"/>
      <c r="V40" s="567">
        <f t="shared" si="5"/>
        <v>0</v>
      </c>
    </row>
    <row r="41" spans="2:24" ht="69.75" customHeight="1" x14ac:dyDescent="0.35">
      <c r="B41" s="657" t="s">
        <v>860</v>
      </c>
      <c r="C41" s="74"/>
      <c r="D41" s="530">
        <v>1</v>
      </c>
      <c r="E41" s="530" t="s">
        <v>759</v>
      </c>
      <c r="F41" s="40" t="s">
        <v>760</v>
      </c>
      <c r="G41" s="868">
        <v>180.25</v>
      </c>
      <c r="H41" s="531"/>
      <c r="I41" s="532"/>
      <c r="J41" s="533"/>
      <c r="K41" s="573"/>
      <c r="L41" s="663"/>
      <c r="M41" s="1000">
        <v>180.25</v>
      </c>
      <c r="N41" s="664"/>
      <c r="O41" s="665"/>
      <c r="P41" s="666"/>
      <c r="Q41" s="535"/>
      <c r="R41" s="537"/>
      <c r="S41" s="667"/>
      <c r="T41" s="668">
        <f t="shared" si="4"/>
        <v>0</v>
      </c>
      <c r="U41" s="530"/>
      <c r="V41" s="567">
        <f t="shared" si="5"/>
        <v>0</v>
      </c>
    </row>
    <row r="42" spans="2:24" ht="23.25" customHeight="1" x14ac:dyDescent="0.35"/>
    <row r="43" spans="2:24" ht="30.75" customHeight="1" x14ac:dyDescent="0.35">
      <c r="B43" s="1082" t="s">
        <v>861</v>
      </c>
      <c r="C43" s="1083"/>
      <c r="D43" s="670">
        <f>SUM(D44:D55)</f>
        <v>12</v>
      </c>
      <c r="E43" s="1084" t="s">
        <v>742</v>
      </c>
      <c r="F43" s="1083"/>
      <c r="G43" s="740">
        <v>1661.06</v>
      </c>
      <c r="H43" s="671"/>
      <c r="I43" s="672"/>
      <c r="J43" s="673"/>
      <c r="K43" s="674"/>
      <c r="L43" s="675"/>
      <c r="M43" s="1001">
        <v>1748.48</v>
      </c>
      <c r="N43" s="676"/>
      <c r="O43" s="677"/>
      <c r="P43" s="678"/>
      <c r="Q43" s="679"/>
      <c r="R43" s="680"/>
      <c r="S43" s="681"/>
      <c r="T43" s="668">
        <f>(SUM(H43:L43)+SUM(N43:S43))*D43</f>
        <v>0</v>
      </c>
      <c r="U43" s="668"/>
      <c r="V43" s="682">
        <f>(M43*SUM(N43:S43))+G43*(SUM(H43:L43))</f>
        <v>0</v>
      </c>
    </row>
    <row r="44" spans="2:24" ht="90" customHeight="1" x14ac:dyDescent="0.35">
      <c r="B44" s="683" t="s">
        <v>862</v>
      </c>
      <c r="C44" s="555"/>
      <c r="D44" s="556">
        <v>1</v>
      </c>
      <c r="E44" s="556" t="s">
        <v>763</v>
      </c>
      <c r="F44" s="557" t="s">
        <v>764</v>
      </c>
      <c r="G44" s="868">
        <v>180.25</v>
      </c>
      <c r="H44" s="558"/>
      <c r="I44" s="559"/>
      <c r="J44" s="560"/>
      <c r="K44" s="587"/>
      <c r="L44" s="658"/>
      <c r="M44" s="1002">
        <v>180.25</v>
      </c>
      <c r="N44" s="659"/>
      <c r="O44" s="660"/>
      <c r="P44" s="661"/>
      <c r="Q44" s="562"/>
      <c r="R44" s="564"/>
      <c r="S44" s="662"/>
      <c r="T44" s="668">
        <f t="shared" ref="T44:T55" si="6">SUM(H44:L44)+SUM(N44:S44)</f>
        <v>0</v>
      </c>
      <c r="U44" s="556"/>
      <c r="V44" s="566">
        <f t="shared" ref="V44:V55" si="7">T44*G44</f>
        <v>0</v>
      </c>
    </row>
    <row r="45" spans="2:24" ht="90" customHeight="1" x14ac:dyDescent="0.35">
      <c r="B45" s="683" t="s">
        <v>863</v>
      </c>
      <c r="C45" s="74"/>
      <c r="D45" s="530">
        <v>1</v>
      </c>
      <c r="E45" s="530" t="s">
        <v>766</v>
      </c>
      <c r="F45" s="40" t="s">
        <v>767</v>
      </c>
      <c r="G45" s="867">
        <v>162.22999999999999</v>
      </c>
      <c r="H45" s="531"/>
      <c r="I45" s="532"/>
      <c r="J45" s="533"/>
      <c r="K45" s="534"/>
      <c r="L45" s="663"/>
      <c r="M45" s="1002">
        <v>162.22999999999999</v>
      </c>
      <c r="N45" s="664"/>
      <c r="O45" s="665"/>
      <c r="P45" s="666"/>
      <c r="Q45" s="535"/>
      <c r="R45" s="537"/>
      <c r="S45" s="667"/>
      <c r="T45" s="668">
        <f t="shared" si="6"/>
        <v>0</v>
      </c>
      <c r="U45" s="530"/>
      <c r="V45" s="567">
        <f t="shared" si="7"/>
        <v>0</v>
      </c>
    </row>
    <row r="46" spans="2:24" ht="90" customHeight="1" x14ac:dyDescent="0.35">
      <c r="B46" s="683" t="s">
        <v>864</v>
      </c>
      <c r="C46" s="74"/>
      <c r="D46" s="530">
        <v>1</v>
      </c>
      <c r="E46" s="530" t="s">
        <v>769</v>
      </c>
      <c r="F46" s="40" t="s">
        <v>770</v>
      </c>
      <c r="G46" s="867">
        <v>162.22999999999999</v>
      </c>
      <c r="H46" s="531"/>
      <c r="I46" s="532"/>
      <c r="J46" s="533"/>
      <c r="K46" s="534"/>
      <c r="L46" s="663"/>
      <c r="M46" s="1002">
        <v>162.22999999999999</v>
      </c>
      <c r="N46" s="664"/>
      <c r="O46" s="665"/>
      <c r="P46" s="666"/>
      <c r="Q46" s="535"/>
      <c r="R46" s="537"/>
      <c r="S46" s="667"/>
      <c r="T46" s="668">
        <f t="shared" si="6"/>
        <v>0</v>
      </c>
      <c r="U46" s="530"/>
      <c r="V46" s="567">
        <f t="shared" si="7"/>
        <v>0</v>
      </c>
    </row>
    <row r="47" spans="2:24" ht="90" customHeight="1" x14ac:dyDescent="0.35">
      <c r="B47" s="683" t="s">
        <v>865</v>
      </c>
      <c r="C47" s="568"/>
      <c r="D47" s="530">
        <v>1</v>
      </c>
      <c r="E47" s="530" t="s">
        <v>772</v>
      </c>
      <c r="F47" s="40" t="s">
        <v>773</v>
      </c>
      <c r="G47" s="867">
        <v>126.18</v>
      </c>
      <c r="H47" s="531"/>
      <c r="I47" s="532"/>
      <c r="J47" s="533"/>
      <c r="K47" s="534"/>
      <c r="L47" s="663"/>
      <c r="M47" s="1002">
        <v>126.18</v>
      </c>
      <c r="N47" s="664"/>
      <c r="O47" s="665"/>
      <c r="P47" s="666"/>
      <c r="Q47" s="535"/>
      <c r="R47" s="537"/>
      <c r="S47" s="667"/>
      <c r="T47" s="668">
        <f t="shared" si="6"/>
        <v>0</v>
      </c>
      <c r="U47" s="530"/>
      <c r="V47" s="567">
        <f t="shared" si="7"/>
        <v>0</v>
      </c>
    </row>
    <row r="48" spans="2:24" ht="90" customHeight="1" x14ac:dyDescent="0.35">
      <c r="B48" s="683" t="s">
        <v>866</v>
      </c>
      <c r="C48" s="568"/>
      <c r="D48" s="530">
        <v>1</v>
      </c>
      <c r="E48" s="530" t="s">
        <v>772</v>
      </c>
      <c r="F48" s="40" t="s">
        <v>775</v>
      </c>
      <c r="G48" s="867">
        <v>126.18</v>
      </c>
      <c r="H48" s="531"/>
      <c r="I48" s="532"/>
      <c r="J48" s="533"/>
      <c r="K48" s="534"/>
      <c r="L48" s="663"/>
      <c r="M48" s="1002">
        <v>126.18</v>
      </c>
      <c r="N48" s="664"/>
      <c r="O48" s="665"/>
      <c r="P48" s="666"/>
      <c r="Q48" s="535"/>
      <c r="R48" s="537"/>
      <c r="S48" s="667"/>
      <c r="T48" s="668">
        <f t="shared" si="6"/>
        <v>0</v>
      </c>
      <c r="U48" s="530"/>
      <c r="V48" s="567">
        <f t="shared" si="7"/>
        <v>0</v>
      </c>
    </row>
    <row r="49" spans="2:22" ht="90" customHeight="1" x14ac:dyDescent="0.35">
      <c r="B49" s="683" t="s">
        <v>867</v>
      </c>
      <c r="C49" s="568"/>
      <c r="D49" s="530">
        <v>1</v>
      </c>
      <c r="E49" s="530" t="s">
        <v>772</v>
      </c>
      <c r="F49" s="40" t="s">
        <v>777</v>
      </c>
      <c r="G49" s="867">
        <v>126.18</v>
      </c>
      <c r="H49" s="531"/>
      <c r="I49" s="532"/>
      <c r="J49" s="533"/>
      <c r="K49" s="534"/>
      <c r="L49" s="663"/>
      <c r="M49" s="1002">
        <v>126.18</v>
      </c>
      <c r="N49" s="664"/>
      <c r="O49" s="665"/>
      <c r="P49" s="666"/>
      <c r="Q49" s="535"/>
      <c r="R49" s="537"/>
      <c r="S49" s="667"/>
      <c r="T49" s="668">
        <f t="shared" si="6"/>
        <v>0</v>
      </c>
      <c r="U49" s="530"/>
      <c r="V49" s="567">
        <f t="shared" si="7"/>
        <v>0</v>
      </c>
    </row>
    <row r="50" spans="2:22" ht="90" customHeight="1" x14ac:dyDescent="0.35">
      <c r="B50" s="683" t="s">
        <v>868</v>
      </c>
      <c r="C50" s="74"/>
      <c r="D50" s="530">
        <v>1</v>
      </c>
      <c r="E50" s="530" t="s">
        <v>779</v>
      </c>
      <c r="F50" s="40" t="s">
        <v>780</v>
      </c>
      <c r="G50" s="867">
        <v>126.18</v>
      </c>
      <c r="H50" s="531"/>
      <c r="I50" s="532"/>
      <c r="J50" s="533"/>
      <c r="K50" s="534"/>
      <c r="L50" s="663"/>
      <c r="M50" s="1002">
        <v>126.18</v>
      </c>
      <c r="N50" s="664"/>
      <c r="O50" s="665"/>
      <c r="P50" s="666"/>
      <c r="Q50" s="535"/>
      <c r="R50" s="537"/>
      <c r="S50" s="667"/>
      <c r="T50" s="668">
        <f t="shared" si="6"/>
        <v>0</v>
      </c>
      <c r="U50" s="530"/>
      <c r="V50" s="567">
        <f t="shared" si="7"/>
        <v>0</v>
      </c>
    </row>
    <row r="51" spans="2:22" ht="90" customHeight="1" x14ac:dyDescent="0.35">
      <c r="B51" s="683" t="s">
        <v>869</v>
      </c>
      <c r="C51" s="74"/>
      <c r="D51" s="530">
        <v>1</v>
      </c>
      <c r="E51" s="530" t="s">
        <v>782</v>
      </c>
      <c r="F51" s="40" t="s">
        <v>783</v>
      </c>
      <c r="G51" s="867">
        <v>126.18</v>
      </c>
      <c r="H51" s="531"/>
      <c r="I51" s="532"/>
      <c r="J51" s="533"/>
      <c r="K51" s="534"/>
      <c r="L51" s="663"/>
      <c r="M51" s="1002">
        <v>126.18</v>
      </c>
      <c r="N51" s="664"/>
      <c r="O51" s="665"/>
      <c r="P51" s="666"/>
      <c r="Q51" s="535"/>
      <c r="R51" s="537"/>
      <c r="S51" s="667"/>
      <c r="T51" s="668">
        <f t="shared" si="6"/>
        <v>0</v>
      </c>
      <c r="U51" s="530"/>
      <c r="V51" s="567">
        <f t="shared" si="7"/>
        <v>0</v>
      </c>
    </row>
    <row r="52" spans="2:22" ht="90" customHeight="1" x14ac:dyDescent="0.35">
      <c r="B52" s="683" t="s">
        <v>870</v>
      </c>
      <c r="C52" s="74"/>
      <c r="D52" s="530">
        <v>1</v>
      </c>
      <c r="E52" s="530" t="s">
        <v>785</v>
      </c>
      <c r="F52" s="40" t="s">
        <v>786</v>
      </c>
      <c r="G52" s="867">
        <v>126.18</v>
      </c>
      <c r="H52" s="531"/>
      <c r="I52" s="532"/>
      <c r="J52" s="533"/>
      <c r="K52" s="534"/>
      <c r="L52" s="663"/>
      <c r="M52" s="1002">
        <v>126.18</v>
      </c>
      <c r="N52" s="664"/>
      <c r="O52" s="665"/>
      <c r="P52" s="666"/>
      <c r="Q52" s="535"/>
      <c r="R52" s="537"/>
      <c r="S52" s="667"/>
      <c r="T52" s="668">
        <f t="shared" si="6"/>
        <v>0</v>
      </c>
      <c r="U52" s="530"/>
      <c r="V52" s="567">
        <f t="shared" si="7"/>
        <v>0</v>
      </c>
    </row>
    <row r="53" spans="2:22" ht="90" customHeight="1" x14ac:dyDescent="0.35">
      <c r="B53" s="683" t="s">
        <v>871</v>
      </c>
      <c r="C53" s="74"/>
      <c r="D53" s="530">
        <v>1</v>
      </c>
      <c r="E53" s="530" t="s">
        <v>788</v>
      </c>
      <c r="F53" s="40" t="s">
        <v>789</v>
      </c>
      <c r="G53" s="867">
        <v>162.22999999999999</v>
      </c>
      <c r="H53" s="531"/>
      <c r="I53" s="532"/>
      <c r="J53" s="533"/>
      <c r="K53" s="534"/>
      <c r="L53" s="663"/>
      <c r="M53" s="1002">
        <v>162.22999999999999</v>
      </c>
      <c r="N53" s="664"/>
      <c r="O53" s="665"/>
      <c r="P53" s="666"/>
      <c r="Q53" s="535"/>
      <c r="R53" s="537"/>
      <c r="S53" s="667"/>
      <c r="T53" s="668">
        <f t="shared" si="6"/>
        <v>0</v>
      </c>
      <c r="U53" s="530"/>
      <c r="V53" s="567">
        <f t="shared" si="7"/>
        <v>0</v>
      </c>
    </row>
    <row r="54" spans="2:22" ht="90" customHeight="1" x14ac:dyDescent="0.35">
      <c r="B54" s="683" t="s">
        <v>872</v>
      </c>
      <c r="C54" s="74"/>
      <c r="D54" s="530">
        <v>1</v>
      </c>
      <c r="E54" s="530" t="s">
        <v>791</v>
      </c>
      <c r="F54" s="40" t="s">
        <v>792</v>
      </c>
      <c r="G54" s="867">
        <v>162.22999999999999</v>
      </c>
      <c r="H54" s="531"/>
      <c r="I54" s="532"/>
      <c r="J54" s="533"/>
      <c r="K54" s="534"/>
      <c r="L54" s="663"/>
      <c r="M54" s="1002">
        <v>162.22999999999999</v>
      </c>
      <c r="N54" s="664"/>
      <c r="O54" s="665"/>
      <c r="P54" s="666"/>
      <c r="Q54" s="535"/>
      <c r="R54" s="537"/>
      <c r="S54" s="667"/>
      <c r="T54" s="668">
        <f t="shared" si="6"/>
        <v>0</v>
      </c>
      <c r="U54" s="530"/>
      <c r="V54" s="567">
        <f t="shared" si="7"/>
        <v>0</v>
      </c>
    </row>
    <row r="55" spans="2:22" ht="90" customHeight="1" x14ac:dyDescent="0.35">
      <c r="B55" s="683" t="s">
        <v>873</v>
      </c>
      <c r="C55" s="74"/>
      <c r="D55" s="530">
        <v>1</v>
      </c>
      <c r="E55" s="530" t="s">
        <v>794</v>
      </c>
      <c r="F55" s="40" t="s">
        <v>795</v>
      </c>
      <c r="G55" s="867">
        <v>162.22999999999999</v>
      </c>
      <c r="H55" s="531"/>
      <c r="I55" s="532"/>
      <c r="J55" s="533"/>
      <c r="K55" s="534"/>
      <c r="L55" s="663"/>
      <c r="M55" s="1002">
        <v>162.22999999999999</v>
      </c>
      <c r="N55" s="664"/>
      <c r="O55" s="665"/>
      <c r="P55" s="666"/>
      <c r="Q55" s="535"/>
      <c r="R55" s="537"/>
      <c r="S55" s="667"/>
      <c r="T55" s="668">
        <f t="shared" si="6"/>
        <v>0</v>
      </c>
      <c r="U55" s="530"/>
      <c r="V55" s="567">
        <f t="shared" si="7"/>
        <v>0</v>
      </c>
    </row>
    <row r="56" spans="2:22" ht="24" customHeight="1" x14ac:dyDescent="0.35">
      <c r="G56" s="974"/>
      <c r="L56" s="684"/>
      <c r="M56" s="1003"/>
    </row>
    <row r="57" spans="2:22" ht="20.25" customHeight="1" x14ac:dyDescent="0.35">
      <c r="B57" s="1091" t="s">
        <v>874</v>
      </c>
      <c r="C57" s="1056"/>
      <c r="D57" s="570">
        <f>SUM(D58:D74)</f>
        <v>20</v>
      </c>
      <c r="E57" s="570"/>
      <c r="F57" s="741" t="s">
        <v>559</v>
      </c>
      <c r="G57" s="742">
        <v>3060.03</v>
      </c>
      <c r="H57" s="576"/>
      <c r="I57" s="577"/>
      <c r="J57" s="578"/>
      <c r="K57" s="579"/>
      <c r="L57" s="644"/>
      <c r="M57" s="1004">
        <v>3060.03</v>
      </c>
      <c r="N57" s="645"/>
      <c r="O57" s="646"/>
      <c r="P57" s="647"/>
      <c r="Q57" s="580"/>
      <c r="R57" s="656"/>
      <c r="S57" s="648"/>
      <c r="T57" s="570">
        <f>(SUM(H57:L57)+SUM(N57:S57))*D57</f>
        <v>0</v>
      </c>
      <c r="U57" s="570"/>
      <c r="V57" s="649">
        <f>(M57*SUM(N57:S57))+G57*(SUM(H57:L57))</f>
        <v>0</v>
      </c>
    </row>
    <row r="58" spans="2:22" ht="90" customHeight="1" x14ac:dyDescent="0.35">
      <c r="B58" s="683" t="s">
        <v>875</v>
      </c>
      <c r="C58" s="555"/>
      <c r="D58" s="556">
        <v>1</v>
      </c>
      <c r="E58" s="556" t="s">
        <v>798</v>
      </c>
      <c r="F58" s="557" t="s">
        <v>799</v>
      </c>
      <c r="G58" s="868">
        <v>189.52</v>
      </c>
      <c r="H58" s="558"/>
      <c r="I58" s="559"/>
      <c r="J58" s="560"/>
      <c r="K58" s="587"/>
      <c r="L58" s="658"/>
      <c r="M58" s="1000">
        <v>189.52</v>
      </c>
      <c r="N58" s="659"/>
      <c r="O58" s="660"/>
      <c r="P58" s="661"/>
      <c r="Q58" s="562"/>
      <c r="R58" s="564"/>
      <c r="S58" s="662"/>
      <c r="T58" s="556">
        <f t="shared" ref="T58:T74" si="8">SUM(H58:L58)+SUM(N58:S58)</f>
        <v>0</v>
      </c>
      <c r="U58" s="556"/>
      <c r="V58" s="566">
        <f t="shared" ref="V58:V74" si="9">T58*G58</f>
        <v>0</v>
      </c>
    </row>
    <row r="59" spans="2:22" ht="90" customHeight="1" x14ac:dyDescent="0.35">
      <c r="B59" s="669" t="s">
        <v>876</v>
      </c>
      <c r="C59" s="74"/>
      <c r="D59" s="530">
        <v>1</v>
      </c>
      <c r="E59" s="530" t="s">
        <v>801</v>
      </c>
      <c r="F59" s="40" t="s">
        <v>802</v>
      </c>
      <c r="G59" s="867">
        <v>179.22</v>
      </c>
      <c r="H59" s="531"/>
      <c r="I59" s="532"/>
      <c r="J59" s="533"/>
      <c r="K59" s="573"/>
      <c r="L59" s="663"/>
      <c r="M59" s="1002">
        <v>179.22</v>
      </c>
      <c r="N59" s="664"/>
      <c r="O59" s="665"/>
      <c r="P59" s="666"/>
      <c r="Q59" s="535"/>
      <c r="R59" s="537"/>
      <c r="S59" s="667"/>
      <c r="T59" s="668">
        <f t="shared" si="8"/>
        <v>0</v>
      </c>
      <c r="U59" s="530"/>
      <c r="V59" s="567">
        <f t="shared" si="9"/>
        <v>0</v>
      </c>
    </row>
    <row r="60" spans="2:22" ht="90" customHeight="1" x14ac:dyDescent="0.35">
      <c r="B60" s="669" t="s">
        <v>877</v>
      </c>
      <c r="C60" s="74"/>
      <c r="D60" s="530">
        <v>1</v>
      </c>
      <c r="E60" s="530" t="s">
        <v>804</v>
      </c>
      <c r="F60" s="40" t="s">
        <v>805</v>
      </c>
      <c r="G60" s="867">
        <v>162.74</v>
      </c>
      <c r="H60" s="531"/>
      <c r="I60" s="532"/>
      <c r="J60" s="533"/>
      <c r="K60" s="573"/>
      <c r="L60" s="663"/>
      <c r="M60" s="1002">
        <v>162.74</v>
      </c>
      <c r="N60" s="664"/>
      <c r="O60" s="665"/>
      <c r="P60" s="666"/>
      <c r="Q60" s="535"/>
      <c r="R60" s="537"/>
      <c r="S60" s="667"/>
      <c r="T60" s="668">
        <f t="shared" si="8"/>
        <v>0</v>
      </c>
      <c r="U60" s="530"/>
      <c r="V60" s="567">
        <f t="shared" si="9"/>
        <v>0</v>
      </c>
    </row>
    <row r="61" spans="2:22" ht="90" customHeight="1" x14ac:dyDescent="0.35">
      <c r="B61" s="669" t="s">
        <v>878</v>
      </c>
      <c r="C61" s="74"/>
      <c r="D61" s="530">
        <v>1</v>
      </c>
      <c r="E61" s="530"/>
      <c r="F61" s="40" t="s">
        <v>807</v>
      </c>
      <c r="G61" s="867">
        <v>163.77000000000001</v>
      </c>
      <c r="H61" s="531"/>
      <c r="I61" s="532"/>
      <c r="J61" s="533"/>
      <c r="K61" s="573"/>
      <c r="L61" s="663"/>
      <c r="M61" s="1002">
        <v>163.77000000000001</v>
      </c>
      <c r="N61" s="664"/>
      <c r="O61" s="665"/>
      <c r="P61" s="666"/>
      <c r="Q61" s="535"/>
      <c r="R61" s="537"/>
      <c r="S61" s="667"/>
      <c r="T61" s="668">
        <f t="shared" si="8"/>
        <v>0</v>
      </c>
      <c r="U61" s="530"/>
      <c r="V61" s="567">
        <f t="shared" si="9"/>
        <v>0</v>
      </c>
    </row>
    <row r="62" spans="2:22" ht="90" customHeight="1" x14ac:dyDescent="0.35">
      <c r="B62" s="669" t="s">
        <v>879</v>
      </c>
      <c r="C62" s="74"/>
      <c r="D62" s="530">
        <v>1</v>
      </c>
      <c r="E62" s="530"/>
      <c r="F62" s="40" t="s">
        <v>809</v>
      </c>
      <c r="G62" s="867">
        <v>163.77000000000001</v>
      </c>
      <c r="H62" s="531"/>
      <c r="I62" s="532"/>
      <c r="J62" s="533"/>
      <c r="K62" s="534"/>
      <c r="L62" s="663"/>
      <c r="M62" s="1002">
        <v>163.77000000000001</v>
      </c>
      <c r="N62" s="664"/>
      <c r="O62" s="665"/>
      <c r="P62" s="666"/>
      <c r="Q62" s="535"/>
      <c r="R62" s="537"/>
      <c r="S62" s="667"/>
      <c r="T62" s="668">
        <f t="shared" si="8"/>
        <v>0</v>
      </c>
      <c r="U62" s="530"/>
      <c r="V62" s="567">
        <f t="shared" si="9"/>
        <v>0</v>
      </c>
    </row>
    <row r="63" spans="2:22" ht="90" customHeight="1" x14ac:dyDescent="0.35">
      <c r="B63" s="669" t="s">
        <v>880</v>
      </c>
      <c r="C63" s="74"/>
      <c r="D63" s="530">
        <v>1</v>
      </c>
      <c r="E63" s="530" t="s">
        <v>811</v>
      </c>
      <c r="F63" s="40" t="s">
        <v>812</v>
      </c>
      <c r="G63" s="867">
        <v>193.64</v>
      </c>
      <c r="H63" s="531"/>
      <c r="I63" s="532"/>
      <c r="J63" s="533"/>
      <c r="K63" s="534"/>
      <c r="L63" s="663"/>
      <c r="M63" s="1002">
        <v>193.64</v>
      </c>
      <c r="N63" s="664"/>
      <c r="O63" s="665"/>
      <c r="P63" s="666"/>
      <c r="Q63" s="535"/>
      <c r="R63" s="537"/>
      <c r="S63" s="667"/>
      <c r="T63" s="668">
        <f t="shared" si="8"/>
        <v>0</v>
      </c>
      <c r="U63" s="530"/>
      <c r="V63" s="567">
        <f t="shared" si="9"/>
        <v>0</v>
      </c>
    </row>
    <row r="64" spans="2:22" ht="90" customHeight="1" x14ac:dyDescent="0.35">
      <c r="B64" s="669" t="s">
        <v>881</v>
      </c>
      <c r="C64" s="74"/>
      <c r="D64" s="530">
        <v>1</v>
      </c>
      <c r="E64" s="530"/>
      <c r="F64" s="40" t="s">
        <v>814</v>
      </c>
      <c r="G64" s="867">
        <v>163.77000000000001</v>
      </c>
      <c r="H64" s="531"/>
      <c r="I64" s="532"/>
      <c r="J64" s="533"/>
      <c r="K64" s="534"/>
      <c r="L64" s="663"/>
      <c r="M64" s="1002">
        <v>163.77000000000001</v>
      </c>
      <c r="N64" s="664"/>
      <c r="O64" s="665"/>
      <c r="P64" s="666"/>
      <c r="Q64" s="535"/>
      <c r="R64" s="537"/>
      <c r="S64" s="667"/>
      <c r="T64" s="668">
        <f t="shared" si="8"/>
        <v>0</v>
      </c>
      <c r="U64" s="530"/>
      <c r="V64" s="567">
        <f t="shared" si="9"/>
        <v>0</v>
      </c>
    </row>
    <row r="65" spans="2:23" ht="90" customHeight="1" x14ac:dyDescent="0.35">
      <c r="B65" s="669" t="s">
        <v>882</v>
      </c>
      <c r="C65" s="74"/>
      <c r="D65" s="530">
        <v>1</v>
      </c>
      <c r="E65" s="530"/>
      <c r="F65" s="40" t="s">
        <v>816</v>
      </c>
      <c r="G65" s="867">
        <v>163.77000000000001</v>
      </c>
      <c r="H65" s="531"/>
      <c r="I65" s="532"/>
      <c r="J65" s="533"/>
      <c r="K65" s="534"/>
      <c r="L65" s="663"/>
      <c r="M65" s="1002">
        <v>163.77000000000001</v>
      </c>
      <c r="N65" s="664"/>
      <c r="O65" s="665"/>
      <c r="P65" s="666"/>
      <c r="Q65" s="535"/>
      <c r="R65" s="537"/>
      <c r="S65" s="667"/>
      <c r="T65" s="668">
        <f t="shared" si="8"/>
        <v>0</v>
      </c>
      <c r="U65" s="530"/>
      <c r="V65" s="567">
        <f t="shared" si="9"/>
        <v>0</v>
      </c>
    </row>
    <row r="66" spans="2:23" ht="90" customHeight="1" x14ac:dyDescent="0.35">
      <c r="B66" s="669" t="s">
        <v>883</v>
      </c>
      <c r="C66" s="74"/>
      <c r="D66" s="530">
        <v>4</v>
      </c>
      <c r="E66" s="356" t="s">
        <v>818</v>
      </c>
      <c r="F66" s="212" t="s">
        <v>819</v>
      </c>
      <c r="G66" s="867">
        <v>574.74</v>
      </c>
      <c r="H66" s="531"/>
      <c r="I66" s="532"/>
      <c r="J66" s="533"/>
      <c r="K66" s="534"/>
      <c r="L66" s="663"/>
      <c r="M66" s="1002">
        <v>574.74</v>
      </c>
      <c r="N66" s="664"/>
      <c r="O66" s="665"/>
      <c r="P66" s="666"/>
      <c r="Q66" s="535"/>
      <c r="R66" s="537"/>
      <c r="S66" s="667"/>
      <c r="T66" s="668">
        <f t="shared" si="8"/>
        <v>0</v>
      </c>
      <c r="U66" s="530"/>
      <c r="V66" s="567">
        <f t="shared" si="9"/>
        <v>0</v>
      </c>
    </row>
    <row r="67" spans="2:23" ht="90" customHeight="1" x14ac:dyDescent="0.35">
      <c r="B67" s="669" t="s">
        <v>884</v>
      </c>
      <c r="C67" s="74"/>
      <c r="D67" s="530">
        <v>1</v>
      </c>
      <c r="E67" s="530" t="s">
        <v>821</v>
      </c>
      <c r="F67" s="40" t="s">
        <v>822</v>
      </c>
      <c r="G67" s="867">
        <v>183.34</v>
      </c>
      <c r="H67" s="531"/>
      <c r="I67" s="532"/>
      <c r="J67" s="533"/>
      <c r="K67" s="534"/>
      <c r="L67" s="663"/>
      <c r="M67" s="1002">
        <v>183.34</v>
      </c>
      <c r="N67" s="664"/>
      <c r="O67" s="665"/>
      <c r="P67" s="666"/>
      <c r="Q67" s="535"/>
      <c r="R67" s="537"/>
      <c r="S67" s="667"/>
      <c r="T67" s="668">
        <f t="shared" si="8"/>
        <v>0</v>
      </c>
      <c r="U67" s="530"/>
      <c r="V67" s="567">
        <f t="shared" si="9"/>
        <v>0</v>
      </c>
    </row>
    <row r="68" spans="2:23" ht="90" customHeight="1" x14ac:dyDescent="0.35">
      <c r="B68" s="669" t="s">
        <v>885</v>
      </c>
      <c r="C68" s="74"/>
      <c r="D68" s="530">
        <v>1</v>
      </c>
      <c r="E68" s="530" t="s">
        <v>824</v>
      </c>
      <c r="F68" s="40" t="s">
        <v>825</v>
      </c>
      <c r="G68" s="867">
        <v>195.7</v>
      </c>
      <c r="H68" s="531"/>
      <c r="I68" s="532"/>
      <c r="J68" s="533"/>
      <c r="K68" s="534"/>
      <c r="L68" s="663"/>
      <c r="M68" s="1002">
        <v>195.7</v>
      </c>
      <c r="N68" s="664"/>
      <c r="O68" s="665"/>
      <c r="P68" s="666"/>
      <c r="Q68" s="535"/>
      <c r="R68" s="537"/>
      <c r="S68" s="667"/>
      <c r="T68" s="668">
        <f t="shared" si="8"/>
        <v>0</v>
      </c>
      <c r="U68" s="530"/>
      <c r="V68" s="567">
        <f t="shared" si="9"/>
        <v>0</v>
      </c>
    </row>
    <row r="69" spans="2:23" ht="90" customHeight="1" x14ac:dyDescent="0.35">
      <c r="B69" s="669" t="s">
        <v>886</v>
      </c>
      <c r="C69" s="74"/>
      <c r="D69" s="530">
        <v>1</v>
      </c>
      <c r="E69" s="688" t="s">
        <v>827</v>
      </c>
      <c r="F69" s="40" t="s">
        <v>828</v>
      </c>
      <c r="G69" s="867">
        <v>206</v>
      </c>
      <c r="H69" s="531"/>
      <c r="I69" s="532"/>
      <c r="J69" s="533"/>
      <c r="K69" s="534"/>
      <c r="L69" s="663"/>
      <c r="M69" s="1002">
        <v>206</v>
      </c>
      <c r="N69" s="664"/>
      <c r="O69" s="665"/>
      <c r="P69" s="666"/>
      <c r="Q69" s="535"/>
      <c r="R69" s="537"/>
      <c r="S69" s="667"/>
      <c r="T69" s="668">
        <f t="shared" si="8"/>
        <v>0</v>
      </c>
      <c r="U69" s="530"/>
      <c r="V69" s="567">
        <f t="shared" si="9"/>
        <v>0</v>
      </c>
    </row>
    <row r="70" spans="2:23" ht="90" customHeight="1" x14ac:dyDescent="0.35">
      <c r="B70" s="669" t="s">
        <v>887</v>
      </c>
      <c r="C70" s="74"/>
      <c r="D70" s="530">
        <v>1</v>
      </c>
      <c r="E70" s="688" t="s">
        <v>830</v>
      </c>
      <c r="F70" s="40" t="s">
        <v>831</v>
      </c>
      <c r="G70" s="867">
        <v>206</v>
      </c>
      <c r="H70" s="531"/>
      <c r="I70" s="532"/>
      <c r="J70" s="533"/>
      <c r="K70" s="534"/>
      <c r="L70" s="663"/>
      <c r="M70" s="1002">
        <v>206</v>
      </c>
      <c r="N70" s="664"/>
      <c r="O70" s="665"/>
      <c r="P70" s="666"/>
      <c r="Q70" s="535"/>
      <c r="R70" s="537"/>
      <c r="S70" s="667"/>
      <c r="T70" s="668">
        <f t="shared" si="8"/>
        <v>0</v>
      </c>
      <c r="U70" s="530"/>
      <c r="V70" s="567">
        <f t="shared" si="9"/>
        <v>0</v>
      </c>
    </row>
    <row r="71" spans="2:23" ht="90" customHeight="1" x14ac:dyDescent="0.35">
      <c r="B71" s="669" t="s">
        <v>888</v>
      </c>
      <c r="C71" s="530" t="s">
        <v>833</v>
      </c>
      <c r="D71" s="530">
        <v>1</v>
      </c>
      <c r="E71" s="530" t="s">
        <v>834</v>
      </c>
      <c r="F71" s="40" t="s">
        <v>835</v>
      </c>
      <c r="G71" s="867">
        <v>163.77000000000001</v>
      </c>
      <c r="H71" s="531"/>
      <c r="I71" s="532"/>
      <c r="J71" s="533"/>
      <c r="K71" s="534"/>
      <c r="L71" s="663"/>
      <c r="M71" s="1002">
        <v>163.77000000000001</v>
      </c>
      <c r="N71" s="664"/>
      <c r="O71" s="665"/>
      <c r="P71" s="666"/>
      <c r="Q71" s="535"/>
      <c r="R71" s="537"/>
      <c r="S71" s="667"/>
      <c r="T71" s="668">
        <f t="shared" si="8"/>
        <v>0</v>
      </c>
      <c r="U71" s="530"/>
      <c r="V71" s="567">
        <f t="shared" si="9"/>
        <v>0</v>
      </c>
    </row>
    <row r="72" spans="2:23" ht="90" customHeight="1" x14ac:dyDescent="0.35">
      <c r="B72" s="669" t="s">
        <v>889</v>
      </c>
      <c r="C72" s="74"/>
      <c r="D72" s="530">
        <v>1</v>
      </c>
      <c r="E72" s="530" t="s">
        <v>837</v>
      </c>
      <c r="F72" s="40" t="s">
        <v>838</v>
      </c>
      <c r="G72" s="867">
        <v>162.74</v>
      </c>
      <c r="H72" s="531"/>
      <c r="I72" s="532"/>
      <c r="J72" s="533"/>
      <c r="K72" s="534"/>
      <c r="L72" s="663"/>
      <c r="M72" s="1002">
        <v>162.74</v>
      </c>
      <c r="N72" s="664"/>
      <c r="O72" s="665"/>
      <c r="P72" s="666"/>
      <c r="Q72" s="535"/>
      <c r="R72" s="537"/>
      <c r="S72" s="667"/>
      <c r="T72" s="668">
        <f t="shared" si="8"/>
        <v>0</v>
      </c>
      <c r="U72" s="530"/>
      <c r="V72" s="567">
        <f t="shared" si="9"/>
        <v>0</v>
      </c>
    </row>
    <row r="73" spans="2:23" ht="90" customHeight="1" x14ac:dyDescent="0.35">
      <c r="B73" s="669" t="s">
        <v>890</v>
      </c>
      <c r="C73" s="74"/>
      <c r="D73" s="530">
        <v>1</v>
      </c>
      <c r="E73" s="530"/>
      <c r="F73" s="40" t="s">
        <v>840</v>
      </c>
      <c r="G73" s="867">
        <v>163.77000000000001</v>
      </c>
      <c r="H73" s="531"/>
      <c r="I73" s="532"/>
      <c r="J73" s="533"/>
      <c r="K73" s="534"/>
      <c r="L73" s="663"/>
      <c r="M73" s="1002">
        <v>163.77000000000001</v>
      </c>
      <c r="N73" s="664"/>
      <c r="O73" s="665"/>
      <c r="P73" s="666"/>
      <c r="Q73" s="535"/>
      <c r="R73" s="575"/>
      <c r="S73" s="667"/>
      <c r="T73" s="668">
        <f t="shared" si="8"/>
        <v>0</v>
      </c>
      <c r="U73" s="530"/>
      <c r="V73" s="567">
        <f t="shared" si="9"/>
        <v>0</v>
      </c>
    </row>
    <row r="74" spans="2:23" ht="90" customHeight="1" x14ac:dyDescent="0.35">
      <c r="B74" s="743" t="s">
        <v>891</v>
      </c>
      <c r="C74" s="689"/>
      <c r="D74" s="690">
        <v>1</v>
      </c>
      <c r="E74" s="690"/>
      <c r="F74" s="691" t="s">
        <v>842</v>
      </c>
      <c r="G74" s="979">
        <v>163.77000000000001</v>
      </c>
      <c r="H74" s="692"/>
      <c r="I74" s="693"/>
      <c r="J74" s="694"/>
      <c r="K74" s="695"/>
      <c r="L74" s="744"/>
      <c r="M74" s="1005">
        <v>163.77000000000001</v>
      </c>
      <c r="N74" s="745"/>
      <c r="O74" s="698"/>
      <c r="P74" s="699"/>
      <c r="Q74" s="700"/>
      <c r="R74" s="701"/>
      <c r="S74" s="702"/>
      <c r="T74" s="668">
        <f t="shared" si="8"/>
        <v>0</v>
      </c>
      <c r="U74" s="530"/>
      <c r="V74" s="567">
        <f t="shared" si="9"/>
        <v>0</v>
      </c>
    </row>
    <row r="75" spans="2:23" ht="15.75" customHeight="1" x14ac:dyDescent="0.35">
      <c r="B75" s="1092" t="s">
        <v>892</v>
      </c>
      <c r="C75" s="1093"/>
      <c r="D75" s="1093"/>
      <c r="E75" s="1093"/>
      <c r="F75" s="1093"/>
      <c r="G75" s="1094"/>
      <c r="H75" s="746">
        <f>SUM(H58:H74)+SUM(H44:H55)+SUM(H36:H41)+((H33*$D33)+(H35*$D35)+($D43*H43)+(H57*$D57))</f>
        <v>0</v>
      </c>
      <c r="I75" s="746">
        <f>SUM(I58:I74)+SUM(I44:I55)+SUM(I36:I41)+((I33*$D33)+(I35*$D35)+($D43*I43)+(I57*$D57))</f>
        <v>0</v>
      </c>
      <c r="J75" s="746">
        <f>SUM(J58:J74)+SUM(J44:J55)+SUM(J36:J41)+((J33*$D33)+(J35*$D35)+($D43*J43)+(J57*$D57))</f>
        <v>0</v>
      </c>
      <c r="K75" s="746">
        <f>SUM(K58:K74)+SUM(K44:K55)+SUM(K36:K41)+((K33*$D33)+(K35*$D35)+($D43*K43)+(K57*$D57))</f>
        <v>0</v>
      </c>
      <c r="L75" s="746">
        <f>SUM(L58:L74)+SUM(L44:L55)+SUM(L36:L41)+((L33*$D33)+(L35*$D35)+($D43*L43)+(L57*$D57))</f>
        <v>0</v>
      </c>
      <c r="M75" s="1006"/>
      <c r="N75" s="747">
        <f t="shared" ref="N75:V75" si="10">SUM(N58:N74)+SUM(N44:N55)+SUM(N36:N41)+((N33*$D33)+(N35*$D35)+($D43*N43)+(N57*$D57))</f>
        <v>0</v>
      </c>
      <c r="O75" s="747">
        <f t="shared" si="10"/>
        <v>0</v>
      </c>
      <c r="P75" s="747">
        <f t="shared" si="10"/>
        <v>0</v>
      </c>
      <c r="Q75" s="747">
        <f t="shared" si="10"/>
        <v>0</v>
      </c>
      <c r="R75" s="747">
        <f t="shared" si="10"/>
        <v>0</v>
      </c>
      <c r="S75" s="747">
        <f t="shared" si="10"/>
        <v>0</v>
      </c>
      <c r="T75" s="747">
        <f t="shared" si="10"/>
        <v>0</v>
      </c>
      <c r="U75" s="747">
        <f t="shared" si="10"/>
        <v>0</v>
      </c>
      <c r="V75" s="748">
        <f t="shared" si="10"/>
        <v>0</v>
      </c>
      <c r="W75" s="133"/>
    </row>
    <row r="76" spans="2:23" ht="15.75" customHeight="1" x14ac:dyDescent="0.35">
      <c r="B76" s="1095" t="s">
        <v>893</v>
      </c>
      <c r="C76" s="1058"/>
      <c r="D76" s="1058"/>
      <c r="E76" s="1058"/>
      <c r="F76" s="1058"/>
      <c r="G76" s="1058"/>
      <c r="H76" s="1058"/>
      <c r="I76" s="1058"/>
      <c r="J76" s="1058"/>
      <c r="K76" s="1058"/>
      <c r="L76" s="1058"/>
      <c r="M76" s="1058"/>
      <c r="N76" s="1058"/>
      <c r="O76" s="1058"/>
      <c r="P76" s="1058"/>
      <c r="Q76" s="1058"/>
      <c r="R76" s="1058"/>
      <c r="S76" s="1058"/>
      <c r="T76" s="1058"/>
      <c r="U76" s="1096"/>
      <c r="V76" s="749">
        <f>V75+S25</f>
        <v>0</v>
      </c>
    </row>
    <row r="77" spans="2:23" ht="15.75" customHeight="1" x14ac:dyDescent="0.35">
      <c r="G77" s="974"/>
    </row>
    <row r="78" spans="2:23" ht="15.75" customHeight="1" x14ac:dyDescent="0.35">
      <c r="G78" s="974"/>
    </row>
    <row r="79" spans="2:23" ht="15.75" customHeight="1" x14ac:dyDescent="0.35">
      <c r="G79" s="974"/>
    </row>
    <row r="80" spans="2:23" ht="15.75" customHeight="1" x14ac:dyDescent="0.35">
      <c r="G80" s="974"/>
    </row>
    <row r="81" spans="7:7" ht="15.75" customHeight="1" x14ac:dyDescent="0.35">
      <c r="G81" s="974"/>
    </row>
    <row r="82" spans="7:7" ht="15.75" customHeight="1" x14ac:dyDescent="0.35">
      <c r="G82" s="974"/>
    </row>
    <row r="83" spans="7:7" ht="15.75" customHeight="1" x14ac:dyDescent="0.35">
      <c r="G83" s="974"/>
    </row>
    <row r="84" spans="7:7" ht="15.75" customHeight="1" x14ac:dyDescent="0.35">
      <c r="G84" s="974"/>
    </row>
    <row r="85" spans="7:7" ht="15.75" customHeight="1" x14ac:dyDescent="0.35">
      <c r="G85" s="974"/>
    </row>
    <row r="86" spans="7:7" ht="15.75" customHeight="1" x14ac:dyDescent="0.35">
      <c r="G86" s="974"/>
    </row>
    <row r="87" spans="7:7" ht="15.75" customHeight="1" x14ac:dyDescent="0.35">
      <c r="G87" s="974"/>
    </row>
    <row r="88" spans="7:7" ht="15.75" customHeight="1" x14ac:dyDescent="0.35">
      <c r="G88" s="974"/>
    </row>
    <row r="89" spans="7:7" ht="15.75" customHeight="1" x14ac:dyDescent="0.35">
      <c r="G89" s="974"/>
    </row>
    <row r="90" spans="7:7" ht="15.75" customHeight="1" x14ac:dyDescent="0.35">
      <c r="G90" s="974"/>
    </row>
    <row r="91" spans="7:7" ht="15.75" customHeight="1" x14ac:dyDescent="0.35">
      <c r="G91" s="974"/>
    </row>
    <row r="92" spans="7:7" ht="15.75" customHeight="1" x14ac:dyDescent="0.35">
      <c r="G92" s="974"/>
    </row>
    <row r="93" spans="7:7" ht="15.75" customHeight="1" x14ac:dyDescent="0.35">
      <c r="G93" s="974"/>
    </row>
    <row r="94" spans="7:7" ht="15.75" customHeight="1" x14ac:dyDescent="0.35">
      <c r="G94" s="974"/>
    </row>
    <row r="95" spans="7:7" ht="15.75" customHeight="1" x14ac:dyDescent="0.35">
      <c r="G95" s="974"/>
    </row>
    <row r="96" spans="7:7" ht="15.75" customHeight="1" x14ac:dyDescent="0.35">
      <c r="G96" s="974"/>
    </row>
    <row r="97" spans="7:7" ht="15.75" customHeight="1" x14ac:dyDescent="0.35">
      <c r="G97" s="974"/>
    </row>
    <row r="98" spans="7:7" ht="15.75" customHeight="1" x14ac:dyDescent="0.35">
      <c r="G98" s="974"/>
    </row>
    <row r="99" spans="7:7" ht="15.75" customHeight="1" x14ac:dyDescent="0.35">
      <c r="G99" s="974"/>
    </row>
    <row r="100" spans="7:7" ht="15.75" customHeight="1" x14ac:dyDescent="0.35">
      <c r="G100" s="974"/>
    </row>
    <row r="101" spans="7:7" ht="15.75" customHeight="1" x14ac:dyDescent="0.35">
      <c r="G101" s="974"/>
    </row>
    <row r="102" spans="7:7" ht="15.75" customHeight="1" x14ac:dyDescent="0.35">
      <c r="G102" s="974"/>
    </row>
    <row r="103" spans="7:7" ht="15.75" customHeight="1" x14ac:dyDescent="0.35">
      <c r="G103" s="974"/>
    </row>
    <row r="104" spans="7:7" ht="15.75" customHeight="1" x14ac:dyDescent="0.35">
      <c r="G104" s="974"/>
    </row>
    <row r="105" spans="7:7" ht="15.75" customHeight="1" x14ac:dyDescent="0.35">
      <c r="G105" s="974"/>
    </row>
    <row r="106" spans="7:7" ht="15.75" customHeight="1" x14ac:dyDescent="0.35">
      <c r="G106" s="974"/>
    </row>
    <row r="107" spans="7:7" ht="15.75" customHeight="1" x14ac:dyDescent="0.35">
      <c r="G107" s="974"/>
    </row>
    <row r="108" spans="7:7" ht="15.75" customHeight="1" x14ac:dyDescent="0.35">
      <c r="G108" s="974"/>
    </row>
    <row r="109" spans="7:7" ht="15.75" customHeight="1" x14ac:dyDescent="0.35">
      <c r="G109" s="974"/>
    </row>
    <row r="110" spans="7:7" ht="15.75" customHeight="1" x14ac:dyDescent="0.35">
      <c r="G110" s="974"/>
    </row>
    <row r="111" spans="7:7" ht="15.75" customHeight="1" x14ac:dyDescent="0.35">
      <c r="G111" s="974"/>
    </row>
    <row r="112" spans="7:7" ht="15.75" customHeight="1" x14ac:dyDescent="0.35">
      <c r="G112" s="974"/>
    </row>
    <row r="113" spans="7:7" ht="15.75" customHeight="1" x14ac:dyDescent="0.35">
      <c r="G113" s="974"/>
    </row>
    <row r="114" spans="7:7" ht="15.75" customHeight="1" x14ac:dyDescent="0.35">
      <c r="G114" s="974"/>
    </row>
    <row r="115" spans="7:7" ht="15.75" customHeight="1" x14ac:dyDescent="0.35">
      <c r="G115" s="974"/>
    </row>
    <row r="116" spans="7:7" ht="15.75" customHeight="1" x14ac:dyDescent="0.35">
      <c r="G116" s="974"/>
    </row>
    <row r="117" spans="7:7" ht="15.75" customHeight="1" x14ac:dyDescent="0.35">
      <c r="G117" s="974"/>
    </row>
    <row r="118" spans="7:7" ht="15.75" customHeight="1" x14ac:dyDescent="0.35">
      <c r="G118" s="974"/>
    </row>
    <row r="119" spans="7:7" ht="15.75" customHeight="1" x14ac:dyDescent="0.35">
      <c r="G119" s="974"/>
    </row>
    <row r="120" spans="7:7" ht="15.75" customHeight="1" x14ac:dyDescent="0.35">
      <c r="G120" s="974"/>
    </row>
    <row r="121" spans="7:7" ht="15.75" customHeight="1" x14ac:dyDescent="0.35">
      <c r="G121" s="974"/>
    </row>
    <row r="122" spans="7:7" ht="15.75" customHeight="1" x14ac:dyDescent="0.35">
      <c r="G122" s="974"/>
    </row>
    <row r="123" spans="7:7" ht="15.75" customHeight="1" x14ac:dyDescent="0.35">
      <c r="G123" s="974"/>
    </row>
    <row r="124" spans="7:7" ht="15.75" customHeight="1" x14ac:dyDescent="0.35">
      <c r="G124" s="974"/>
    </row>
    <row r="125" spans="7:7" ht="15.75" customHeight="1" x14ac:dyDescent="0.35">
      <c r="G125" s="974"/>
    </row>
    <row r="126" spans="7:7" ht="15.75" customHeight="1" x14ac:dyDescent="0.35">
      <c r="G126" s="974"/>
    </row>
    <row r="127" spans="7:7" ht="15.75" customHeight="1" x14ac:dyDescent="0.35">
      <c r="G127" s="974"/>
    </row>
    <row r="128" spans="7:7" ht="15.75" customHeight="1" x14ac:dyDescent="0.35">
      <c r="G128" s="974"/>
    </row>
    <row r="129" spans="7:7" ht="15.75" customHeight="1" x14ac:dyDescent="0.35">
      <c r="G129" s="974"/>
    </row>
    <row r="130" spans="7:7" ht="15.75" customHeight="1" x14ac:dyDescent="0.35">
      <c r="G130" s="974"/>
    </row>
    <row r="131" spans="7:7" ht="15.75" customHeight="1" x14ac:dyDescent="0.35">
      <c r="G131" s="974"/>
    </row>
    <row r="132" spans="7:7" ht="15.75" customHeight="1" x14ac:dyDescent="0.35">
      <c r="G132" s="974"/>
    </row>
    <row r="133" spans="7:7" ht="15.75" customHeight="1" x14ac:dyDescent="0.35">
      <c r="G133" s="974"/>
    </row>
    <row r="134" spans="7:7" ht="15.75" customHeight="1" x14ac:dyDescent="0.35">
      <c r="G134" s="974"/>
    </row>
    <row r="135" spans="7:7" ht="15.75" customHeight="1" x14ac:dyDescent="0.35">
      <c r="G135" s="974"/>
    </row>
    <row r="136" spans="7:7" ht="15.75" customHeight="1" x14ac:dyDescent="0.35">
      <c r="G136" s="974"/>
    </row>
    <row r="137" spans="7:7" ht="15.75" customHeight="1" x14ac:dyDescent="0.35">
      <c r="G137" s="974"/>
    </row>
    <row r="138" spans="7:7" ht="15.75" customHeight="1" x14ac:dyDescent="0.35">
      <c r="G138" s="974"/>
    </row>
    <row r="139" spans="7:7" ht="15.75" customHeight="1" x14ac:dyDescent="0.35">
      <c r="G139" s="974"/>
    </row>
    <row r="140" spans="7:7" ht="15.75" customHeight="1" x14ac:dyDescent="0.35">
      <c r="G140" s="974"/>
    </row>
    <row r="141" spans="7:7" ht="15.75" customHeight="1" x14ac:dyDescent="0.35">
      <c r="G141" s="974"/>
    </row>
    <row r="142" spans="7:7" ht="15.75" customHeight="1" x14ac:dyDescent="0.35">
      <c r="G142" s="974"/>
    </row>
    <row r="143" spans="7:7" ht="15.75" customHeight="1" x14ac:dyDescent="0.35">
      <c r="G143" s="974"/>
    </row>
    <row r="144" spans="7:7" ht="15.75" customHeight="1" x14ac:dyDescent="0.35">
      <c r="G144" s="974"/>
    </row>
    <row r="145" spans="7:7" ht="15.75" customHeight="1" x14ac:dyDescent="0.35">
      <c r="G145" s="974"/>
    </row>
    <row r="146" spans="7:7" ht="15.75" customHeight="1" x14ac:dyDescent="0.35">
      <c r="G146" s="974"/>
    </row>
    <row r="147" spans="7:7" ht="15.75" customHeight="1" x14ac:dyDescent="0.35">
      <c r="G147" s="974"/>
    </row>
    <row r="148" spans="7:7" ht="15.75" customHeight="1" x14ac:dyDescent="0.35">
      <c r="G148" s="974"/>
    </row>
    <row r="149" spans="7:7" ht="15.75" customHeight="1" x14ac:dyDescent="0.35">
      <c r="G149" s="974"/>
    </row>
    <row r="150" spans="7:7" ht="15.75" customHeight="1" x14ac:dyDescent="0.35">
      <c r="G150" s="974"/>
    </row>
    <row r="151" spans="7:7" ht="15.75" customHeight="1" x14ac:dyDescent="0.35">
      <c r="G151" s="974"/>
    </row>
    <row r="152" spans="7:7" ht="15.75" customHeight="1" x14ac:dyDescent="0.35">
      <c r="G152" s="974"/>
    </row>
    <row r="153" spans="7:7" ht="15.75" customHeight="1" x14ac:dyDescent="0.35">
      <c r="G153" s="974"/>
    </row>
    <row r="154" spans="7:7" ht="15.75" customHeight="1" x14ac:dyDescent="0.35">
      <c r="G154" s="974"/>
    </row>
    <row r="155" spans="7:7" ht="15.75" customHeight="1" x14ac:dyDescent="0.35">
      <c r="G155" s="974"/>
    </row>
    <row r="156" spans="7:7" ht="15.75" customHeight="1" x14ac:dyDescent="0.35">
      <c r="G156" s="974"/>
    </row>
    <row r="157" spans="7:7" ht="15.75" customHeight="1" x14ac:dyDescent="0.35">
      <c r="G157" s="974"/>
    </row>
    <row r="158" spans="7:7" ht="15.75" customHeight="1" x14ac:dyDescent="0.35">
      <c r="G158" s="974"/>
    </row>
    <row r="159" spans="7:7" ht="15.75" customHeight="1" x14ac:dyDescent="0.35">
      <c r="G159" s="974"/>
    </row>
    <row r="160" spans="7:7" ht="15.75" customHeight="1" x14ac:dyDescent="0.35">
      <c r="G160" s="974"/>
    </row>
    <row r="161" spans="7:7" ht="15.75" customHeight="1" x14ac:dyDescent="0.35">
      <c r="G161" s="974"/>
    </row>
    <row r="162" spans="7:7" ht="15.75" customHeight="1" x14ac:dyDescent="0.35">
      <c r="G162" s="974"/>
    </row>
    <row r="163" spans="7:7" ht="15.75" customHeight="1" x14ac:dyDescent="0.35">
      <c r="G163" s="974"/>
    </row>
    <row r="164" spans="7:7" ht="15.75" customHeight="1" x14ac:dyDescent="0.35">
      <c r="G164" s="974"/>
    </row>
    <row r="165" spans="7:7" ht="15.75" customHeight="1" x14ac:dyDescent="0.35">
      <c r="G165" s="974"/>
    </row>
    <row r="166" spans="7:7" ht="15.75" customHeight="1" x14ac:dyDescent="0.35">
      <c r="G166" s="974"/>
    </row>
    <row r="167" spans="7:7" ht="15.75" customHeight="1" x14ac:dyDescent="0.35">
      <c r="G167" s="974"/>
    </row>
    <row r="168" spans="7:7" ht="15.75" customHeight="1" x14ac:dyDescent="0.35">
      <c r="G168" s="974"/>
    </row>
    <row r="169" spans="7:7" ht="15.75" customHeight="1" x14ac:dyDescent="0.35">
      <c r="G169" s="974"/>
    </row>
    <row r="170" spans="7:7" ht="15.75" customHeight="1" x14ac:dyDescent="0.35">
      <c r="G170" s="974"/>
    </row>
    <row r="171" spans="7:7" ht="15.75" customHeight="1" x14ac:dyDescent="0.35">
      <c r="G171" s="974"/>
    </row>
    <row r="172" spans="7:7" ht="15.75" customHeight="1" x14ac:dyDescent="0.35">
      <c r="G172" s="974"/>
    </row>
    <row r="173" spans="7:7" ht="15.75" customHeight="1" x14ac:dyDescent="0.35">
      <c r="G173" s="974"/>
    </row>
    <row r="174" spans="7:7" ht="15.75" customHeight="1" x14ac:dyDescent="0.35">
      <c r="G174" s="974"/>
    </row>
    <row r="175" spans="7:7" ht="15.75" customHeight="1" x14ac:dyDescent="0.35">
      <c r="G175" s="974"/>
    </row>
    <row r="176" spans="7:7" ht="15.75" customHeight="1" x14ac:dyDescent="0.35">
      <c r="G176" s="974"/>
    </row>
    <row r="177" spans="7:7" ht="15.75" customHeight="1" x14ac:dyDescent="0.35">
      <c r="G177" s="974"/>
    </row>
    <row r="178" spans="7:7" ht="15.75" customHeight="1" x14ac:dyDescent="0.35">
      <c r="G178" s="974"/>
    </row>
    <row r="179" spans="7:7" ht="15.75" customHeight="1" x14ac:dyDescent="0.35">
      <c r="G179" s="974"/>
    </row>
    <row r="180" spans="7:7" ht="15.75" customHeight="1" x14ac:dyDescent="0.35">
      <c r="G180" s="974"/>
    </row>
    <row r="181" spans="7:7" ht="15.75" customHeight="1" x14ac:dyDescent="0.35">
      <c r="G181" s="974"/>
    </row>
    <row r="182" spans="7:7" ht="15.75" customHeight="1" x14ac:dyDescent="0.35">
      <c r="G182" s="974"/>
    </row>
    <row r="183" spans="7:7" ht="15.75" customHeight="1" x14ac:dyDescent="0.35">
      <c r="G183" s="974"/>
    </row>
    <row r="184" spans="7:7" ht="15.75" customHeight="1" x14ac:dyDescent="0.35">
      <c r="G184" s="974"/>
    </row>
    <row r="185" spans="7:7" ht="15.75" customHeight="1" x14ac:dyDescent="0.35">
      <c r="G185" s="974"/>
    </row>
    <row r="186" spans="7:7" ht="15.75" customHeight="1" x14ac:dyDescent="0.35">
      <c r="G186" s="974"/>
    </row>
    <row r="187" spans="7:7" ht="15.75" customHeight="1" x14ac:dyDescent="0.35">
      <c r="G187" s="974"/>
    </row>
    <row r="188" spans="7:7" ht="15.75" customHeight="1" x14ac:dyDescent="0.35">
      <c r="G188" s="974"/>
    </row>
    <row r="189" spans="7:7" ht="15.75" customHeight="1" x14ac:dyDescent="0.35">
      <c r="G189" s="974"/>
    </row>
    <row r="190" spans="7:7" ht="15.75" customHeight="1" x14ac:dyDescent="0.35">
      <c r="G190" s="974"/>
    </row>
    <row r="191" spans="7:7" ht="15.75" customHeight="1" x14ac:dyDescent="0.35">
      <c r="G191" s="974"/>
    </row>
    <row r="192" spans="7:7" ht="15.75" customHeight="1" x14ac:dyDescent="0.35">
      <c r="G192" s="974"/>
    </row>
    <row r="193" spans="7:7" ht="15.75" customHeight="1" x14ac:dyDescent="0.35">
      <c r="G193" s="974"/>
    </row>
    <row r="194" spans="7:7" ht="15.75" customHeight="1" x14ac:dyDescent="0.35">
      <c r="G194" s="974"/>
    </row>
    <row r="195" spans="7:7" ht="15.75" customHeight="1" x14ac:dyDescent="0.35">
      <c r="G195" s="974"/>
    </row>
    <row r="196" spans="7:7" ht="15.75" customHeight="1" x14ac:dyDescent="0.35">
      <c r="G196" s="974"/>
    </row>
    <row r="197" spans="7:7" ht="15.75" customHeight="1" x14ac:dyDescent="0.35">
      <c r="G197" s="974"/>
    </row>
    <row r="198" spans="7:7" ht="15.75" customHeight="1" x14ac:dyDescent="0.35">
      <c r="G198" s="974"/>
    </row>
    <row r="199" spans="7:7" ht="15.75" customHeight="1" x14ac:dyDescent="0.35">
      <c r="G199" s="974"/>
    </row>
    <row r="200" spans="7:7" ht="15.75" customHeight="1" x14ac:dyDescent="0.35">
      <c r="G200" s="974"/>
    </row>
    <row r="201" spans="7:7" ht="15.75" customHeight="1" x14ac:dyDescent="0.35">
      <c r="G201" s="974"/>
    </row>
    <row r="202" spans="7:7" ht="15.75" customHeight="1" x14ac:dyDescent="0.35">
      <c r="G202" s="974"/>
    </row>
    <row r="203" spans="7:7" ht="15.75" customHeight="1" x14ac:dyDescent="0.35">
      <c r="G203" s="974"/>
    </row>
    <row r="204" spans="7:7" ht="15.75" customHeight="1" x14ac:dyDescent="0.35">
      <c r="G204" s="974"/>
    </row>
    <row r="205" spans="7:7" ht="15.75" customHeight="1" x14ac:dyDescent="0.35">
      <c r="G205" s="974"/>
    </row>
    <row r="206" spans="7:7" ht="15.75" customHeight="1" x14ac:dyDescent="0.35">
      <c r="G206" s="974"/>
    </row>
    <row r="207" spans="7:7" ht="15.75" customHeight="1" x14ac:dyDescent="0.35">
      <c r="G207" s="974"/>
    </row>
    <row r="208" spans="7:7" ht="15.75" customHeight="1" x14ac:dyDescent="0.35">
      <c r="G208" s="974"/>
    </row>
    <row r="209" spans="7:7" ht="15.75" customHeight="1" x14ac:dyDescent="0.35">
      <c r="G209" s="974"/>
    </row>
    <row r="210" spans="7:7" ht="15.75" customHeight="1" x14ac:dyDescent="0.35">
      <c r="G210" s="974"/>
    </row>
    <row r="211" spans="7:7" ht="15.75" customHeight="1" x14ac:dyDescent="0.35">
      <c r="G211" s="974"/>
    </row>
    <row r="212" spans="7:7" ht="15.75" customHeight="1" x14ac:dyDescent="0.35">
      <c r="G212" s="974"/>
    </row>
    <row r="213" spans="7:7" ht="15.75" customHeight="1" x14ac:dyDescent="0.35">
      <c r="G213" s="974"/>
    </row>
    <row r="214" spans="7:7" ht="15.75" customHeight="1" x14ac:dyDescent="0.35">
      <c r="G214" s="974"/>
    </row>
    <row r="215" spans="7:7" ht="15.75" customHeight="1" x14ac:dyDescent="0.35">
      <c r="G215" s="974"/>
    </row>
    <row r="216" spans="7:7" ht="15.75" customHeight="1" x14ac:dyDescent="0.35">
      <c r="G216" s="974"/>
    </row>
    <row r="217" spans="7:7" ht="15.75" customHeight="1" x14ac:dyDescent="0.35">
      <c r="G217" s="974"/>
    </row>
    <row r="218" spans="7:7" ht="15.75" customHeight="1" x14ac:dyDescent="0.35">
      <c r="G218" s="974"/>
    </row>
    <row r="219" spans="7:7" ht="15.75" customHeight="1" x14ac:dyDescent="0.35">
      <c r="G219" s="974"/>
    </row>
    <row r="220" spans="7:7" ht="15.75" customHeight="1" x14ac:dyDescent="0.35">
      <c r="G220" s="974"/>
    </row>
    <row r="221" spans="7:7" ht="15.75" customHeight="1" x14ac:dyDescent="0.35">
      <c r="G221" s="974"/>
    </row>
    <row r="222" spans="7:7" ht="15.75" customHeight="1" x14ac:dyDescent="0.35">
      <c r="G222" s="974"/>
    </row>
    <row r="223" spans="7:7" ht="15.75" customHeight="1" x14ac:dyDescent="0.35">
      <c r="G223" s="974"/>
    </row>
    <row r="224" spans="7:7" ht="15.75" customHeight="1" x14ac:dyDescent="0.35">
      <c r="G224" s="974"/>
    </row>
    <row r="225" spans="7:7" ht="15.75" customHeight="1" x14ac:dyDescent="0.35">
      <c r="G225" s="974"/>
    </row>
    <row r="226" spans="7:7" ht="15.75" customHeight="1" x14ac:dyDescent="0.35">
      <c r="G226" s="974"/>
    </row>
    <row r="227" spans="7:7" ht="15.75" customHeight="1" x14ac:dyDescent="0.35">
      <c r="G227" s="974"/>
    </row>
    <row r="228" spans="7:7" ht="15.75" customHeight="1" x14ac:dyDescent="0.35">
      <c r="G228" s="974"/>
    </row>
    <row r="229" spans="7:7" ht="15.75" customHeight="1" x14ac:dyDescent="0.35">
      <c r="G229" s="974"/>
    </row>
    <row r="230" spans="7:7" ht="15.75" customHeight="1" x14ac:dyDescent="0.35">
      <c r="G230" s="974"/>
    </row>
    <row r="231" spans="7:7" ht="15.75" customHeight="1" x14ac:dyDescent="0.35">
      <c r="G231" s="974"/>
    </row>
    <row r="232" spans="7:7" ht="15.75" customHeight="1" x14ac:dyDescent="0.35">
      <c r="G232" s="974"/>
    </row>
    <row r="233" spans="7:7" ht="15.75" customHeight="1" x14ac:dyDescent="0.35">
      <c r="G233" s="974"/>
    </row>
    <row r="234" spans="7:7" ht="15.75" customHeight="1" x14ac:dyDescent="0.35">
      <c r="G234" s="974"/>
    </row>
    <row r="235" spans="7:7" ht="15.75" customHeight="1" x14ac:dyDescent="0.35">
      <c r="G235" s="974"/>
    </row>
    <row r="236" spans="7:7" ht="15.75" customHeight="1" x14ac:dyDescent="0.35">
      <c r="G236" s="974"/>
    </row>
    <row r="237" spans="7:7" ht="15.75" customHeight="1" x14ac:dyDescent="0.35">
      <c r="G237" s="974"/>
    </row>
    <row r="238" spans="7:7" ht="15.75" customHeight="1" x14ac:dyDescent="0.35">
      <c r="G238" s="974"/>
    </row>
    <row r="239" spans="7:7" ht="15.75" customHeight="1" x14ac:dyDescent="0.35">
      <c r="G239" s="974"/>
    </row>
    <row r="240" spans="7:7" ht="15.75" customHeight="1" x14ac:dyDescent="0.35">
      <c r="G240" s="974"/>
    </row>
    <row r="241" spans="7:7" ht="15.75" customHeight="1" x14ac:dyDescent="0.35">
      <c r="G241" s="974"/>
    </row>
    <row r="242" spans="7:7" ht="15.75" customHeight="1" x14ac:dyDescent="0.35">
      <c r="G242" s="974"/>
    </row>
    <row r="243" spans="7:7" ht="15.75" customHeight="1" x14ac:dyDescent="0.35">
      <c r="G243" s="974"/>
    </row>
    <row r="244" spans="7:7" ht="15.75" customHeight="1" x14ac:dyDescent="0.35">
      <c r="G244" s="974"/>
    </row>
    <row r="245" spans="7:7" ht="15.75" customHeight="1" x14ac:dyDescent="0.35">
      <c r="G245" s="974"/>
    </row>
    <row r="246" spans="7:7" ht="15.75" customHeight="1" x14ac:dyDescent="0.35">
      <c r="G246" s="974"/>
    </row>
    <row r="247" spans="7:7" ht="15.75" customHeight="1" x14ac:dyDescent="0.35">
      <c r="G247" s="974"/>
    </row>
    <row r="248" spans="7:7" ht="15.75" customHeight="1" x14ac:dyDescent="0.35">
      <c r="G248" s="974"/>
    </row>
    <row r="249" spans="7:7" ht="15.75" customHeight="1" x14ac:dyDescent="0.35">
      <c r="G249" s="974"/>
    </row>
    <row r="250" spans="7:7" ht="15.75" customHeight="1" x14ac:dyDescent="0.35">
      <c r="G250" s="974"/>
    </row>
    <row r="251" spans="7:7" ht="15.75" customHeight="1" x14ac:dyDescent="0.35">
      <c r="G251" s="974"/>
    </row>
    <row r="252" spans="7:7" ht="15.75" customHeight="1" x14ac:dyDescent="0.35">
      <c r="G252" s="974"/>
    </row>
    <row r="253" spans="7:7" ht="15.75" customHeight="1" x14ac:dyDescent="0.35">
      <c r="G253" s="974"/>
    </row>
    <row r="254" spans="7:7" ht="15.75" customHeight="1" x14ac:dyDescent="0.35">
      <c r="G254" s="974"/>
    </row>
    <row r="255" spans="7:7" ht="15.75" customHeight="1" x14ac:dyDescent="0.35">
      <c r="G255" s="974"/>
    </row>
    <row r="256" spans="7:7" ht="15.75" customHeight="1" x14ac:dyDescent="0.35">
      <c r="G256" s="974"/>
    </row>
    <row r="257" spans="7:7" ht="15.75" customHeight="1" x14ac:dyDescent="0.35">
      <c r="G257" s="974"/>
    </row>
    <row r="258" spans="7:7" ht="15.75" customHeight="1" x14ac:dyDescent="0.35">
      <c r="G258" s="974"/>
    </row>
    <row r="259" spans="7:7" ht="15.75" customHeight="1" x14ac:dyDescent="0.35">
      <c r="G259" s="974"/>
    </row>
    <row r="260" spans="7:7" ht="15.75" customHeight="1" x14ac:dyDescent="0.35">
      <c r="G260" s="974"/>
    </row>
    <row r="261" spans="7:7" ht="15.75" customHeight="1" x14ac:dyDescent="0.35">
      <c r="G261" s="974"/>
    </row>
    <row r="262" spans="7:7" ht="15.75" customHeight="1" x14ac:dyDescent="0.35">
      <c r="G262" s="974"/>
    </row>
    <row r="263" spans="7:7" ht="15.75" customHeight="1" x14ac:dyDescent="0.35">
      <c r="G263" s="974"/>
    </row>
    <row r="264" spans="7:7" ht="15.75" customHeight="1" x14ac:dyDescent="0.35">
      <c r="G264" s="974"/>
    </row>
    <row r="265" spans="7:7" ht="15.75" customHeight="1" x14ac:dyDescent="0.35">
      <c r="G265" s="974"/>
    </row>
    <row r="266" spans="7:7" ht="15.75" customHeight="1" x14ac:dyDescent="0.35">
      <c r="G266" s="974"/>
    </row>
    <row r="267" spans="7:7" ht="15.75" customHeight="1" x14ac:dyDescent="0.35">
      <c r="G267" s="974"/>
    </row>
    <row r="268" spans="7:7" ht="15.75" customHeight="1" x14ac:dyDescent="0.35">
      <c r="G268" s="974"/>
    </row>
    <row r="269" spans="7:7" ht="15.75" customHeight="1" x14ac:dyDescent="0.35">
      <c r="G269" s="974"/>
    </row>
    <row r="270" spans="7:7" ht="15.75" customHeight="1" x14ac:dyDescent="0.35">
      <c r="G270" s="974"/>
    </row>
    <row r="271" spans="7:7" ht="15.75" customHeight="1" x14ac:dyDescent="0.35">
      <c r="G271" s="974"/>
    </row>
    <row r="272" spans="7:7" ht="15.75" customHeight="1" x14ac:dyDescent="0.35">
      <c r="G272" s="974"/>
    </row>
    <row r="273" spans="7:7" ht="15.75" customHeight="1" x14ac:dyDescent="0.35">
      <c r="G273" s="974"/>
    </row>
    <row r="274" spans="7:7" ht="15.75" customHeight="1" x14ac:dyDescent="0.35">
      <c r="G274" s="974"/>
    </row>
    <row r="275" spans="7:7" ht="15.75" customHeight="1" x14ac:dyDescent="0.35">
      <c r="G275" s="974"/>
    </row>
    <row r="276" spans="7:7" ht="15.75" customHeight="1" x14ac:dyDescent="0.35"/>
    <row r="277" spans="7:7" ht="15.75" customHeight="1" x14ac:dyDescent="0.35"/>
    <row r="278" spans="7:7" ht="15.75" customHeight="1" x14ac:dyDescent="0.35"/>
    <row r="279" spans="7:7" ht="15.75" customHeight="1" x14ac:dyDescent="0.35"/>
    <row r="280" spans="7:7" ht="15.75" customHeight="1" x14ac:dyDescent="0.35"/>
    <row r="281" spans="7:7" ht="15.75" customHeight="1" x14ac:dyDescent="0.35"/>
    <row r="282" spans="7:7" ht="15.75" customHeight="1" x14ac:dyDescent="0.35"/>
    <row r="283" spans="7:7" ht="15.75" customHeight="1" x14ac:dyDescent="0.35"/>
    <row r="284" spans="7:7" ht="15.75" customHeight="1" x14ac:dyDescent="0.35"/>
    <row r="285" spans="7:7" ht="15.75" customHeight="1" x14ac:dyDescent="0.35"/>
    <row r="286" spans="7:7" ht="15.75" customHeight="1" x14ac:dyDescent="0.35"/>
    <row r="287" spans="7:7" ht="15.75" customHeight="1" x14ac:dyDescent="0.35"/>
    <row r="288" spans="7:7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  <row r="1013" ht="15.75" customHeight="1" x14ac:dyDescent="0.35"/>
    <row r="1014" ht="15.75" customHeight="1" x14ac:dyDescent="0.35"/>
    <row r="1015" ht="15.75" customHeight="1" x14ac:dyDescent="0.35"/>
    <row r="1016" ht="15.75" customHeight="1" x14ac:dyDescent="0.35"/>
    <row r="1017" ht="15.75" customHeight="1" x14ac:dyDescent="0.35"/>
    <row r="1018" ht="15.75" customHeight="1" x14ac:dyDescent="0.35"/>
    <row r="1019" ht="15.75" customHeight="1" x14ac:dyDescent="0.35"/>
    <row r="1020" ht="15.75" customHeight="1" x14ac:dyDescent="0.35"/>
    <row r="1021" ht="15.75" customHeight="1" x14ac:dyDescent="0.35"/>
    <row r="1022" ht="15.75" customHeight="1" x14ac:dyDescent="0.35"/>
    <row r="1023" ht="15.75" customHeight="1" x14ac:dyDescent="0.35"/>
    <row r="1024" ht="15.75" customHeight="1" x14ac:dyDescent="0.35"/>
    <row r="1025" ht="15.75" customHeight="1" x14ac:dyDescent="0.35"/>
    <row r="1026" ht="15.75" customHeight="1" x14ac:dyDescent="0.35"/>
    <row r="1027" ht="15.75" customHeight="1" x14ac:dyDescent="0.35"/>
  </sheetData>
  <mergeCells count="12">
    <mergeCell ref="B43:C43"/>
    <mergeCell ref="E43:F43"/>
    <mergeCell ref="B57:C57"/>
    <mergeCell ref="B75:G75"/>
    <mergeCell ref="B76:U76"/>
    <mergeCell ref="B33:C33"/>
    <mergeCell ref="G2:Q3"/>
    <mergeCell ref="B6:C6"/>
    <mergeCell ref="F25:G25"/>
    <mergeCell ref="G27:Q28"/>
    <mergeCell ref="H30:L30"/>
    <mergeCell ref="N30:S30"/>
  </mergeCells>
  <pageMargins left="0.7" right="0.7" top="0.75" bottom="0.75" header="0" footer="0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EB207-B9A6-4D3E-96E6-AA4ACD27BCA3}">
  <sheetPr>
    <tabColor theme="1" tint="0.499984740745262"/>
  </sheetPr>
  <dimension ref="B1:T974"/>
  <sheetViews>
    <sheetView zoomScale="55" zoomScaleNormal="55" workbookViewId="0">
      <selection activeCell="T21" sqref="T21"/>
    </sheetView>
  </sheetViews>
  <sheetFormatPr defaultColWidth="14.453125" defaultRowHeight="15" customHeight="1" x14ac:dyDescent="0.35"/>
  <cols>
    <col min="1" max="1" width="3" customWidth="1"/>
    <col min="2" max="2" width="14.26953125" customWidth="1"/>
    <col min="3" max="3" width="62.7265625" customWidth="1"/>
    <col min="4" max="5" width="11.7265625" style="1128" customWidth="1"/>
    <col min="6" max="6" width="13.6328125" customWidth="1"/>
    <col min="7" max="7" width="9.54296875" customWidth="1"/>
    <col min="8" max="8" width="8.453125" style="869" customWidth="1"/>
    <col min="9" max="16" width="15.6328125" customWidth="1"/>
    <col min="17" max="17" width="5.1796875" customWidth="1"/>
    <col min="18" max="18" width="7" customWidth="1"/>
    <col min="19" max="19" width="8.1796875" customWidth="1"/>
    <col min="20" max="20" width="14.81640625" customWidth="1"/>
  </cols>
  <sheetData>
    <row r="1" spans="2:20" ht="14.5" x14ac:dyDescent="0.35">
      <c r="H1" s="864"/>
    </row>
    <row r="2" spans="2:20" ht="33" customHeight="1" thickBot="1" x14ac:dyDescent="0.8">
      <c r="B2" s="1035" t="s">
        <v>1023</v>
      </c>
      <c r="C2" s="1031"/>
      <c r="D2" s="1127"/>
      <c r="E2" s="1127"/>
      <c r="F2" s="1031"/>
      <c r="G2" s="76"/>
      <c r="H2" s="887"/>
      <c r="I2" s="1142"/>
      <c r="J2" s="1142"/>
      <c r="K2" s="1143"/>
      <c r="L2" s="1143"/>
      <c r="M2" s="1142"/>
      <c r="N2" s="1142"/>
      <c r="O2" s="1142"/>
      <c r="P2" s="1143"/>
      <c r="Q2" s="3"/>
      <c r="R2" s="3"/>
      <c r="S2" s="3"/>
      <c r="T2" s="91"/>
    </row>
    <row r="3" spans="2:20" ht="53" customHeight="1" thickBot="1" x14ac:dyDescent="0.4">
      <c r="B3" s="92" t="s">
        <v>15</v>
      </c>
      <c r="C3" s="93" t="s">
        <v>258</v>
      </c>
      <c r="D3" s="1129" t="s">
        <v>1010</v>
      </c>
      <c r="E3" s="1129" t="s">
        <v>1011</v>
      </c>
      <c r="F3" s="94" t="s">
        <v>17</v>
      </c>
      <c r="G3" s="94" t="s">
        <v>18</v>
      </c>
      <c r="H3" s="1144" t="s">
        <v>19</v>
      </c>
      <c r="I3" s="1189" t="s">
        <v>1032</v>
      </c>
      <c r="J3" s="1190" t="s">
        <v>2</v>
      </c>
      <c r="K3" s="1191" t="s">
        <v>8</v>
      </c>
      <c r="L3" s="1192" t="s">
        <v>3</v>
      </c>
      <c r="M3" s="1193" t="s">
        <v>1033</v>
      </c>
      <c r="N3" s="1194" t="s">
        <v>1034</v>
      </c>
      <c r="O3" s="1195" t="s">
        <v>1035</v>
      </c>
      <c r="P3" s="1196" t="s">
        <v>4</v>
      </c>
      <c r="Q3" s="1145" t="s">
        <v>20</v>
      </c>
      <c r="R3" s="108" t="s">
        <v>21</v>
      </c>
      <c r="S3" s="108" t="s">
        <v>22</v>
      </c>
      <c r="T3" s="110" t="s">
        <v>28</v>
      </c>
    </row>
    <row r="4" spans="2:20" thickBot="1" x14ac:dyDescent="0.4">
      <c r="B4" s="76"/>
      <c r="C4" s="76"/>
      <c r="D4" s="1130"/>
      <c r="E4" s="1130"/>
      <c r="F4" s="76"/>
      <c r="G4" s="76"/>
      <c r="H4" s="887"/>
      <c r="I4" s="3"/>
      <c r="J4" s="3"/>
      <c r="K4" s="3"/>
      <c r="L4" s="112"/>
      <c r="M4" s="3"/>
      <c r="N4" s="3"/>
      <c r="O4" s="3"/>
      <c r="P4" s="3"/>
      <c r="Q4" s="3"/>
      <c r="R4" s="3"/>
      <c r="S4" s="3"/>
      <c r="T4" s="91"/>
    </row>
    <row r="5" spans="2:20" ht="129.75" customHeight="1" thickBot="1" x14ac:dyDescent="0.4">
      <c r="B5" s="446" t="s">
        <v>1012</v>
      </c>
      <c r="C5" s="447"/>
      <c r="D5" s="1131">
        <v>80</v>
      </c>
      <c r="E5" s="1131">
        <v>14</v>
      </c>
      <c r="F5" s="448">
        <v>1</v>
      </c>
      <c r="G5" s="448" t="s">
        <v>1017</v>
      </c>
      <c r="H5" s="1154">
        <v>53.88</v>
      </c>
      <c r="I5" s="1157"/>
      <c r="J5" s="1158"/>
      <c r="K5" s="1159"/>
      <c r="L5" s="1160"/>
      <c r="M5" s="1161"/>
      <c r="N5" s="1162"/>
      <c r="O5" s="1152"/>
      <c r="P5" s="1163"/>
      <c r="Q5" s="1155">
        <f>SUM(I5:P5)</f>
        <v>0</v>
      </c>
      <c r="R5" s="449">
        <f>F5*Q5</f>
        <v>0</v>
      </c>
      <c r="S5" s="449">
        <f t="shared" ref="S5:S7" si="0">Q5*1.48</f>
        <v>0</v>
      </c>
      <c r="T5" s="450">
        <f>H5*Q5</f>
        <v>0</v>
      </c>
    </row>
    <row r="6" spans="2:20" ht="129.75" customHeight="1" thickBot="1" x14ac:dyDescent="0.4">
      <c r="B6" s="446" t="s">
        <v>1013</v>
      </c>
      <c r="C6" s="447"/>
      <c r="D6" s="1131">
        <v>101</v>
      </c>
      <c r="E6" s="1131">
        <v>14</v>
      </c>
      <c r="F6" s="448">
        <v>1</v>
      </c>
      <c r="G6" s="448" t="s">
        <v>1018</v>
      </c>
      <c r="H6" s="1154">
        <v>74.959999999999994</v>
      </c>
      <c r="I6" s="1157"/>
      <c r="J6" s="1158"/>
      <c r="K6" s="1159"/>
      <c r="L6" s="1160"/>
      <c r="M6" s="1161"/>
      <c r="N6" s="1162"/>
      <c r="O6" s="1152"/>
      <c r="P6" s="1163"/>
      <c r="Q6" s="1155">
        <f>SUM(I6:P6)</f>
        <v>0</v>
      </c>
      <c r="R6" s="449">
        <f>F6*Q6</f>
        <v>0</v>
      </c>
      <c r="S6" s="449">
        <f t="shared" si="0"/>
        <v>0</v>
      </c>
      <c r="T6" s="450">
        <f>H6*Q6</f>
        <v>0</v>
      </c>
    </row>
    <row r="7" spans="2:20" ht="129.75" customHeight="1" thickBot="1" x14ac:dyDescent="0.4">
      <c r="B7" s="446" t="s">
        <v>1014</v>
      </c>
      <c r="C7" s="447"/>
      <c r="D7" s="1131">
        <v>130</v>
      </c>
      <c r="E7" s="1131">
        <v>22</v>
      </c>
      <c r="F7" s="448">
        <v>1</v>
      </c>
      <c r="G7" s="448" t="s">
        <v>1019</v>
      </c>
      <c r="H7" s="1154">
        <v>111.89</v>
      </c>
      <c r="I7" s="1157"/>
      <c r="J7" s="1158"/>
      <c r="K7" s="1159"/>
      <c r="L7" s="1160"/>
      <c r="M7" s="1161"/>
      <c r="N7" s="1162"/>
      <c r="O7" s="1152"/>
      <c r="P7" s="1163"/>
      <c r="Q7" s="1155">
        <f>SUM(I7:P7)</f>
        <v>0</v>
      </c>
      <c r="R7" s="449">
        <f>F7*Q7</f>
        <v>0</v>
      </c>
      <c r="S7" s="449">
        <f t="shared" si="0"/>
        <v>0</v>
      </c>
      <c r="T7" s="450">
        <f>H7*Q7</f>
        <v>0</v>
      </c>
    </row>
    <row r="8" spans="2:20" ht="129.75" customHeight="1" thickBot="1" x14ac:dyDescent="0.4">
      <c r="B8" s="446" t="s">
        <v>1015</v>
      </c>
      <c r="C8" s="143"/>
      <c r="D8" s="934">
        <v>161</v>
      </c>
      <c r="E8" s="934">
        <v>23.5</v>
      </c>
      <c r="F8" s="448">
        <v>1</v>
      </c>
      <c r="G8" s="448" t="s">
        <v>1020</v>
      </c>
      <c r="H8" s="1154">
        <v>158.13</v>
      </c>
      <c r="I8" s="1157"/>
      <c r="J8" s="1158"/>
      <c r="K8" s="1159"/>
      <c r="L8" s="1160"/>
      <c r="M8" s="1161"/>
      <c r="N8" s="1162"/>
      <c r="O8" s="1152"/>
      <c r="P8" s="1163"/>
      <c r="Q8" s="1155">
        <f>SUM(I8:P8)</f>
        <v>0</v>
      </c>
      <c r="R8" s="449">
        <f>F8*Q8</f>
        <v>0</v>
      </c>
      <c r="S8" s="160">
        <f>Q8*1.1</f>
        <v>0</v>
      </c>
      <c r="T8" s="161">
        <f>Q8*H8</f>
        <v>0</v>
      </c>
    </row>
    <row r="9" spans="2:20" ht="144.5" customHeight="1" x14ac:dyDescent="0.35">
      <c r="B9" s="446" t="s">
        <v>1016</v>
      </c>
      <c r="C9" s="165"/>
      <c r="D9" s="416">
        <v>190</v>
      </c>
      <c r="E9" s="416">
        <v>27.5</v>
      </c>
      <c r="F9" s="448">
        <v>1</v>
      </c>
      <c r="G9" s="448" t="s">
        <v>1021</v>
      </c>
      <c r="H9" s="1154">
        <v>260.44</v>
      </c>
      <c r="I9" s="1157"/>
      <c r="J9" s="1158"/>
      <c r="K9" s="1159"/>
      <c r="L9" s="1160"/>
      <c r="M9" s="1161"/>
      <c r="N9" s="1162"/>
      <c r="O9" s="1152"/>
      <c r="P9" s="1163"/>
      <c r="Q9" s="1155">
        <f>SUM(I9:P9)</f>
        <v>0</v>
      </c>
      <c r="R9" s="449">
        <f>F9*Q9</f>
        <v>0</v>
      </c>
      <c r="S9" s="129">
        <f>Q9*1.23</f>
        <v>0</v>
      </c>
      <c r="T9" s="166">
        <f>H9*Q9</f>
        <v>0</v>
      </c>
    </row>
    <row r="10" spans="2:20" ht="15.75" customHeight="1" x14ac:dyDescent="0.35">
      <c r="B10" s="3"/>
      <c r="C10" s="3"/>
      <c r="D10" s="1132"/>
      <c r="E10" s="1132"/>
      <c r="F10" s="3"/>
      <c r="G10" s="3"/>
      <c r="H10" s="887"/>
      <c r="I10" s="1156">
        <f>SUM(I5:I9)</f>
        <v>0</v>
      </c>
      <c r="J10" s="1156">
        <f>SUM(J5:J9)</f>
        <v>0</v>
      </c>
      <c r="K10" s="1156">
        <f>SUM(K5:K9)</f>
        <v>0</v>
      </c>
      <c r="L10" s="1156">
        <f>SUM(L5:L9)</f>
        <v>0</v>
      </c>
      <c r="M10" s="1156">
        <f>SUM(M5:M9)</f>
        <v>0</v>
      </c>
      <c r="N10" s="1156">
        <f>SUM(N5:N9)</f>
        <v>0</v>
      </c>
      <c r="O10" s="1156">
        <f>SUM(O5:O9)</f>
        <v>0</v>
      </c>
      <c r="P10" s="1156">
        <f>SUM(P5:P9)</f>
        <v>0</v>
      </c>
      <c r="Q10" s="435">
        <f>SUM(Q5:Q9)</f>
        <v>0</v>
      </c>
      <c r="R10" s="435">
        <f>SUM(R5:R9)</f>
        <v>0</v>
      </c>
      <c r="S10" s="435">
        <f>SUM(S5:S9)</f>
        <v>0</v>
      </c>
      <c r="T10" s="436">
        <f>SUM(T5:T9)</f>
        <v>0</v>
      </c>
    </row>
    <row r="11" spans="2:20" ht="15.75" customHeight="1" x14ac:dyDescent="0.35">
      <c r="H11" s="864"/>
    </row>
    <row r="12" spans="2:20" ht="15.75" customHeight="1" x14ac:dyDescent="0.35">
      <c r="H12" s="864"/>
    </row>
    <row r="13" spans="2:20" ht="0.5" customHeight="1" x14ac:dyDescent="0.35">
      <c r="H13" s="864"/>
    </row>
    <row r="14" spans="2:20" ht="47" customHeight="1" thickBot="1" x14ac:dyDescent="0.8">
      <c r="B14" s="1035" t="s">
        <v>1022</v>
      </c>
      <c r="C14" s="1031"/>
      <c r="D14" s="1127"/>
      <c r="E14" s="1127"/>
      <c r="F14" s="1031"/>
      <c r="G14" s="76"/>
      <c r="H14" s="887"/>
      <c r="I14" s="1164"/>
      <c r="J14" s="1164"/>
      <c r="K14" s="1164"/>
      <c r="L14" s="1165"/>
      <c r="M14" s="1164"/>
      <c r="N14" s="1164"/>
      <c r="O14" s="1164"/>
      <c r="P14" s="1164"/>
      <c r="Q14" s="3"/>
      <c r="R14" s="3"/>
      <c r="S14" s="3"/>
      <c r="T14" s="91"/>
    </row>
    <row r="15" spans="2:20" ht="52" customHeight="1" thickBot="1" x14ac:dyDescent="0.4">
      <c r="B15" s="92" t="s">
        <v>15</v>
      </c>
      <c r="C15" s="93" t="s">
        <v>258</v>
      </c>
      <c r="D15" s="1129" t="s">
        <v>1010</v>
      </c>
      <c r="E15" s="1129" t="s">
        <v>1011</v>
      </c>
      <c r="F15" s="94" t="s">
        <v>17</v>
      </c>
      <c r="G15" s="94" t="s">
        <v>18</v>
      </c>
      <c r="H15" s="1144" t="s">
        <v>19</v>
      </c>
      <c r="I15" s="1181" t="s">
        <v>1032</v>
      </c>
      <c r="J15" s="1182" t="s">
        <v>2</v>
      </c>
      <c r="K15" s="1183" t="s">
        <v>8</v>
      </c>
      <c r="L15" s="1184" t="s">
        <v>3</v>
      </c>
      <c r="M15" s="1185" t="s">
        <v>1033</v>
      </c>
      <c r="N15" s="1186" t="s">
        <v>1034</v>
      </c>
      <c r="O15" s="1187" t="s">
        <v>1035</v>
      </c>
      <c r="P15" s="1188" t="s">
        <v>4</v>
      </c>
      <c r="Q15" s="1145" t="s">
        <v>20</v>
      </c>
      <c r="R15" s="108" t="s">
        <v>21</v>
      </c>
      <c r="S15" s="108" t="s">
        <v>22</v>
      </c>
      <c r="T15" s="110" t="s">
        <v>28</v>
      </c>
    </row>
    <row r="16" spans="2:20" ht="139" customHeight="1" thickBot="1" x14ac:dyDescent="0.4">
      <c r="B16" s="446" t="s">
        <v>1024</v>
      </c>
      <c r="C16" s="447"/>
      <c r="D16" s="1131">
        <v>80</v>
      </c>
      <c r="E16" s="1131">
        <v>14</v>
      </c>
      <c r="F16" s="448">
        <v>1</v>
      </c>
      <c r="G16" s="448" t="s">
        <v>1017</v>
      </c>
      <c r="H16" s="1154">
        <v>64.66</v>
      </c>
      <c r="I16" s="1166"/>
      <c r="J16" s="1167"/>
      <c r="K16" s="1168"/>
      <c r="L16" s="1169"/>
      <c r="M16" s="1170"/>
      <c r="N16" s="1171"/>
      <c r="O16" s="1172"/>
      <c r="P16" s="1173"/>
      <c r="Q16" s="1155">
        <f>SUM(I16:P16)</f>
        <v>0</v>
      </c>
      <c r="R16" s="449">
        <f>F16*Q16</f>
        <v>0</v>
      </c>
      <c r="S16" s="449">
        <f t="shared" ref="S16:S18" si="1">Q16*1.48</f>
        <v>0</v>
      </c>
      <c r="T16" s="450">
        <f>H16*Q16</f>
        <v>0</v>
      </c>
    </row>
    <row r="17" spans="2:20" ht="139" customHeight="1" thickBot="1" x14ac:dyDescent="0.4">
      <c r="B17" s="446" t="s">
        <v>1025</v>
      </c>
      <c r="C17" s="447"/>
      <c r="D17" s="1131">
        <v>101</v>
      </c>
      <c r="E17" s="1131">
        <v>14</v>
      </c>
      <c r="F17" s="448">
        <v>1</v>
      </c>
      <c r="G17" s="448" t="s">
        <v>1018</v>
      </c>
      <c r="H17" s="1154">
        <v>89.96</v>
      </c>
      <c r="I17" s="1157"/>
      <c r="J17" s="1158"/>
      <c r="K17" s="1159"/>
      <c r="L17" s="1160"/>
      <c r="M17" s="1161"/>
      <c r="N17" s="1162"/>
      <c r="O17" s="1152"/>
      <c r="P17" s="1163"/>
      <c r="Q17" s="1155">
        <f>SUM(I17:P17)</f>
        <v>0</v>
      </c>
      <c r="R17" s="449">
        <f>F17*Q17</f>
        <v>0</v>
      </c>
      <c r="S17" s="449">
        <f t="shared" si="1"/>
        <v>0</v>
      </c>
      <c r="T17" s="450">
        <f>H17*Q17</f>
        <v>0</v>
      </c>
    </row>
    <row r="18" spans="2:20" ht="139" customHeight="1" thickBot="1" x14ac:dyDescent="0.4">
      <c r="B18" s="446" t="s">
        <v>1026</v>
      </c>
      <c r="C18" s="447"/>
      <c r="D18" s="1131">
        <v>130</v>
      </c>
      <c r="E18" s="1131">
        <v>22</v>
      </c>
      <c r="F18" s="448">
        <v>1</v>
      </c>
      <c r="G18" s="448" t="s">
        <v>1019</v>
      </c>
      <c r="H18" s="1154">
        <v>134.27000000000001</v>
      </c>
      <c r="I18" s="1157"/>
      <c r="J18" s="1158"/>
      <c r="K18" s="1159"/>
      <c r="L18" s="1160"/>
      <c r="M18" s="1161"/>
      <c r="N18" s="1162"/>
      <c r="O18" s="1152"/>
      <c r="P18" s="1163"/>
      <c r="Q18" s="1155">
        <f>SUM(I18:P18)</f>
        <v>0</v>
      </c>
      <c r="R18" s="449">
        <f>F18*Q18</f>
        <v>0</v>
      </c>
      <c r="S18" s="449">
        <f t="shared" si="1"/>
        <v>0</v>
      </c>
      <c r="T18" s="450">
        <f>H18*Q18</f>
        <v>0</v>
      </c>
    </row>
    <row r="19" spans="2:20" ht="139" customHeight="1" thickBot="1" x14ac:dyDescent="0.4">
      <c r="B19" s="446" t="s">
        <v>1027</v>
      </c>
      <c r="C19" s="143"/>
      <c r="D19" s="934">
        <v>161</v>
      </c>
      <c r="E19" s="934">
        <v>23.5</v>
      </c>
      <c r="F19" s="448">
        <v>1</v>
      </c>
      <c r="G19" s="448" t="s">
        <v>1020</v>
      </c>
      <c r="H19" s="1154">
        <v>189.76</v>
      </c>
      <c r="I19" s="1157"/>
      <c r="J19" s="1158"/>
      <c r="K19" s="1159"/>
      <c r="L19" s="1160"/>
      <c r="M19" s="1161"/>
      <c r="N19" s="1162"/>
      <c r="O19" s="1152"/>
      <c r="P19" s="1163"/>
      <c r="Q19" s="1155">
        <f>SUM(I19:P19)</f>
        <v>0</v>
      </c>
      <c r="R19" s="449">
        <f>F19*Q19</f>
        <v>0</v>
      </c>
      <c r="S19" s="160">
        <f>Q19*1.1</f>
        <v>0</v>
      </c>
      <c r="T19" s="161">
        <f>Q19*H19</f>
        <v>0</v>
      </c>
    </row>
    <row r="20" spans="2:20" ht="162.5" customHeight="1" x14ac:dyDescent="0.35">
      <c r="B20" s="446" t="s">
        <v>1028</v>
      </c>
      <c r="C20" s="165"/>
      <c r="D20" s="416">
        <v>190</v>
      </c>
      <c r="E20" s="416">
        <v>27.5</v>
      </c>
      <c r="F20" s="448">
        <v>1</v>
      </c>
      <c r="G20" s="448" t="s">
        <v>1021</v>
      </c>
      <c r="H20" s="1154">
        <v>312.52999999999997</v>
      </c>
      <c r="I20" s="1157"/>
      <c r="J20" s="1158"/>
      <c r="K20" s="1159"/>
      <c r="L20" s="1160"/>
      <c r="M20" s="1161"/>
      <c r="N20" s="1162"/>
      <c r="O20" s="1152"/>
      <c r="P20" s="1163"/>
      <c r="Q20" s="1155">
        <f>SUM(I20:P20)</f>
        <v>0</v>
      </c>
      <c r="R20" s="449">
        <f>F20*Q20</f>
        <v>0</v>
      </c>
      <c r="S20" s="129">
        <f>Q20*1.23</f>
        <v>0</v>
      </c>
      <c r="T20" s="166">
        <f>H20*Q20</f>
        <v>0</v>
      </c>
    </row>
    <row r="21" spans="2:20" ht="15.75" customHeight="1" x14ac:dyDescent="0.35">
      <c r="B21" s="3"/>
      <c r="C21" s="3"/>
      <c r="D21" s="1132"/>
      <c r="E21" s="1132"/>
      <c r="F21" s="3"/>
      <c r="G21" s="3"/>
      <c r="H21" s="887"/>
      <c r="I21" s="1156">
        <f>SUM(I16:I20)</f>
        <v>0</v>
      </c>
      <c r="J21" s="1156">
        <f>SUM(J16:J20)</f>
        <v>0</v>
      </c>
      <c r="K21" s="1156">
        <f>SUM(K16:K20)</f>
        <v>0</v>
      </c>
      <c r="L21" s="1156">
        <f>SUM(L16:L20)</f>
        <v>0</v>
      </c>
      <c r="M21" s="1156">
        <f>SUM(M16:M20)</f>
        <v>0</v>
      </c>
      <c r="N21" s="1156">
        <f>SUM(N16:N20)</f>
        <v>0</v>
      </c>
      <c r="O21" s="1156">
        <f>SUM(O16:O20)</f>
        <v>0</v>
      </c>
      <c r="P21" s="1156">
        <f>SUM(P16:P20)</f>
        <v>0</v>
      </c>
      <c r="Q21" s="435">
        <f>SUM(Q16:Q20)</f>
        <v>0</v>
      </c>
      <c r="R21" s="435">
        <f>SUM(R16:R20)</f>
        <v>0</v>
      </c>
      <c r="S21" s="435">
        <f>SUM(S16:S20)</f>
        <v>0</v>
      </c>
      <c r="T21" s="436">
        <f>SUM(T16:T20)</f>
        <v>0</v>
      </c>
    </row>
    <row r="22" spans="2:20" ht="15.75" customHeight="1" x14ac:dyDescent="0.35">
      <c r="H22" s="864"/>
    </row>
    <row r="23" spans="2:20" ht="15.75" customHeight="1" x14ac:dyDescent="0.35">
      <c r="H23" s="864"/>
    </row>
    <row r="24" spans="2:20" ht="15.75" customHeight="1" x14ac:dyDescent="0.35">
      <c r="H24" s="864"/>
    </row>
    <row r="25" spans="2:20" ht="15.75" customHeight="1" x14ac:dyDescent="0.35">
      <c r="H25" s="864"/>
    </row>
    <row r="26" spans="2:20" ht="15.75" customHeight="1" x14ac:dyDescent="0.35">
      <c r="H26" s="864"/>
    </row>
    <row r="27" spans="2:20" ht="15.75" customHeight="1" x14ac:dyDescent="0.35">
      <c r="H27" s="864"/>
    </row>
    <row r="28" spans="2:20" ht="15.75" customHeight="1" x14ac:dyDescent="0.35">
      <c r="H28" s="864"/>
    </row>
    <row r="29" spans="2:20" ht="15.75" customHeight="1" x14ac:dyDescent="0.35">
      <c r="H29" s="864"/>
    </row>
    <row r="30" spans="2:20" ht="15.75" customHeight="1" x14ac:dyDescent="0.35">
      <c r="H30" s="864"/>
    </row>
    <row r="31" spans="2:20" ht="15.75" customHeight="1" x14ac:dyDescent="0.35">
      <c r="H31" s="864"/>
    </row>
    <row r="32" spans="2:20" ht="15.75" customHeight="1" x14ac:dyDescent="0.35">
      <c r="H32" s="864"/>
    </row>
    <row r="33" spans="8:8" ht="15.75" customHeight="1" x14ac:dyDescent="0.35">
      <c r="H33" s="864"/>
    </row>
    <row r="34" spans="8:8" ht="15.75" customHeight="1" x14ac:dyDescent="0.35">
      <c r="H34" s="864"/>
    </row>
    <row r="35" spans="8:8" ht="15.75" customHeight="1" x14ac:dyDescent="0.35">
      <c r="H35" s="864"/>
    </row>
    <row r="36" spans="8:8" ht="15.75" customHeight="1" x14ac:dyDescent="0.35">
      <c r="H36" s="864"/>
    </row>
    <row r="37" spans="8:8" ht="15.75" customHeight="1" x14ac:dyDescent="0.35">
      <c r="H37" s="864"/>
    </row>
    <row r="38" spans="8:8" ht="15.75" customHeight="1" x14ac:dyDescent="0.35">
      <c r="H38" s="864"/>
    </row>
    <row r="39" spans="8:8" ht="15.75" customHeight="1" x14ac:dyDescent="0.35">
      <c r="H39" s="864"/>
    </row>
    <row r="40" spans="8:8" ht="15.75" customHeight="1" x14ac:dyDescent="0.35">
      <c r="H40" s="864"/>
    </row>
    <row r="41" spans="8:8" ht="15.75" customHeight="1" x14ac:dyDescent="0.35">
      <c r="H41" s="864"/>
    </row>
    <row r="42" spans="8:8" ht="15.75" customHeight="1" x14ac:dyDescent="0.35">
      <c r="H42" s="864"/>
    </row>
    <row r="43" spans="8:8" ht="15.75" customHeight="1" x14ac:dyDescent="0.35">
      <c r="H43" s="864"/>
    </row>
    <row r="44" spans="8:8" ht="15.75" customHeight="1" x14ac:dyDescent="0.35">
      <c r="H44" s="864"/>
    </row>
    <row r="45" spans="8:8" ht="15.75" customHeight="1" x14ac:dyDescent="0.35">
      <c r="H45" s="864"/>
    </row>
    <row r="46" spans="8:8" ht="15.75" customHeight="1" x14ac:dyDescent="0.35">
      <c r="H46" s="864"/>
    </row>
    <row r="47" spans="8:8" ht="15.75" customHeight="1" x14ac:dyDescent="0.35">
      <c r="H47" s="864"/>
    </row>
    <row r="48" spans="8:8" ht="15.75" customHeight="1" x14ac:dyDescent="0.35">
      <c r="H48" s="864"/>
    </row>
    <row r="49" spans="8:8" ht="15.75" customHeight="1" x14ac:dyDescent="0.35">
      <c r="H49" s="864"/>
    </row>
    <row r="50" spans="8:8" ht="15.75" customHeight="1" x14ac:dyDescent="0.35">
      <c r="H50" s="864"/>
    </row>
    <row r="51" spans="8:8" ht="15.75" customHeight="1" x14ac:dyDescent="0.35">
      <c r="H51" s="864"/>
    </row>
    <row r="52" spans="8:8" ht="15.75" customHeight="1" x14ac:dyDescent="0.35">
      <c r="H52" s="864"/>
    </row>
    <row r="53" spans="8:8" ht="15.75" customHeight="1" x14ac:dyDescent="0.35">
      <c r="H53" s="864"/>
    </row>
    <row r="54" spans="8:8" ht="15.75" customHeight="1" x14ac:dyDescent="0.35">
      <c r="H54" s="864"/>
    </row>
    <row r="55" spans="8:8" ht="15.75" customHeight="1" x14ac:dyDescent="0.35">
      <c r="H55" s="864"/>
    </row>
    <row r="56" spans="8:8" ht="15.75" customHeight="1" x14ac:dyDescent="0.35">
      <c r="H56" s="864"/>
    </row>
    <row r="57" spans="8:8" ht="15.75" customHeight="1" x14ac:dyDescent="0.35">
      <c r="H57" s="864"/>
    </row>
    <row r="58" spans="8:8" ht="15.75" customHeight="1" x14ac:dyDescent="0.35">
      <c r="H58" s="864"/>
    </row>
    <row r="59" spans="8:8" ht="15.75" customHeight="1" x14ac:dyDescent="0.35">
      <c r="H59" s="864"/>
    </row>
    <row r="60" spans="8:8" ht="15.75" customHeight="1" x14ac:dyDescent="0.35">
      <c r="H60" s="864"/>
    </row>
    <row r="61" spans="8:8" ht="15.75" customHeight="1" x14ac:dyDescent="0.35">
      <c r="H61" s="864"/>
    </row>
    <row r="62" spans="8:8" ht="15.75" customHeight="1" x14ac:dyDescent="0.35">
      <c r="H62" s="864"/>
    </row>
    <row r="63" spans="8:8" ht="15.75" customHeight="1" x14ac:dyDescent="0.35">
      <c r="H63" s="864"/>
    </row>
    <row r="64" spans="8:8" ht="15.75" customHeight="1" x14ac:dyDescent="0.35">
      <c r="H64" s="864"/>
    </row>
    <row r="65" spans="8:8" ht="15.75" customHeight="1" x14ac:dyDescent="0.35">
      <c r="H65" s="864"/>
    </row>
    <row r="66" spans="8:8" ht="15.75" customHeight="1" x14ac:dyDescent="0.35">
      <c r="H66" s="864"/>
    </row>
    <row r="67" spans="8:8" ht="15.75" customHeight="1" x14ac:dyDescent="0.35">
      <c r="H67" s="864"/>
    </row>
    <row r="68" spans="8:8" ht="15.75" customHeight="1" x14ac:dyDescent="0.35">
      <c r="H68" s="864"/>
    </row>
    <row r="69" spans="8:8" ht="15.75" customHeight="1" x14ac:dyDescent="0.35">
      <c r="H69" s="864"/>
    </row>
    <row r="70" spans="8:8" ht="15.75" customHeight="1" x14ac:dyDescent="0.35">
      <c r="H70" s="864"/>
    </row>
    <row r="71" spans="8:8" ht="15.75" customHeight="1" x14ac:dyDescent="0.35">
      <c r="H71" s="864"/>
    </row>
    <row r="72" spans="8:8" ht="15.75" customHeight="1" x14ac:dyDescent="0.35">
      <c r="H72" s="864"/>
    </row>
    <row r="73" spans="8:8" ht="15.75" customHeight="1" x14ac:dyDescent="0.35">
      <c r="H73" s="864"/>
    </row>
    <row r="74" spans="8:8" ht="15.75" customHeight="1" x14ac:dyDescent="0.35">
      <c r="H74" s="864"/>
    </row>
    <row r="75" spans="8:8" ht="15.75" customHeight="1" x14ac:dyDescent="0.35">
      <c r="H75" s="864"/>
    </row>
    <row r="76" spans="8:8" ht="15.75" customHeight="1" x14ac:dyDescent="0.35">
      <c r="H76" s="864"/>
    </row>
    <row r="77" spans="8:8" ht="15.75" customHeight="1" x14ac:dyDescent="0.35">
      <c r="H77" s="864"/>
    </row>
    <row r="78" spans="8:8" ht="15.75" customHeight="1" x14ac:dyDescent="0.35">
      <c r="H78" s="864"/>
    </row>
    <row r="79" spans="8:8" ht="15.75" customHeight="1" x14ac:dyDescent="0.35">
      <c r="H79" s="864"/>
    </row>
    <row r="80" spans="8:8" ht="15.75" customHeight="1" x14ac:dyDescent="0.35">
      <c r="H80" s="864"/>
    </row>
    <row r="81" spans="8:8" ht="15.75" customHeight="1" x14ac:dyDescent="0.35">
      <c r="H81" s="864"/>
    </row>
    <row r="82" spans="8:8" ht="15.75" customHeight="1" x14ac:dyDescent="0.35">
      <c r="H82" s="864"/>
    </row>
    <row r="83" spans="8:8" ht="15.75" customHeight="1" x14ac:dyDescent="0.35">
      <c r="H83" s="864"/>
    </row>
    <row r="84" spans="8:8" ht="15.75" customHeight="1" x14ac:dyDescent="0.35">
      <c r="H84" s="864"/>
    </row>
    <row r="85" spans="8:8" ht="15.75" customHeight="1" x14ac:dyDescent="0.35">
      <c r="H85" s="864"/>
    </row>
    <row r="86" spans="8:8" ht="15.75" customHeight="1" x14ac:dyDescent="0.35">
      <c r="H86" s="864"/>
    </row>
    <row r="87" spans="8:8" ht="15.75" customHeight="1" x14ac:dyDescent="0.35">
      <c r="H87" s="864"/>
    </row>
    <row r="88" spans="8:8" ht="15.75" customHeight="1" x14ac:dyDescent="0.35">
      <c r="H88" s="864"/>
    </row>
    <row r="89" spans="8:8" ht="15.75" customHeight="1" x14ac:dyDescent="0.35">
      <c r="H89" s="864"/>
    </row>
    <row r="90" spans="8:8" ht="15.75" customHeight="1" x14ac:dyDescent="0.35">
      <c r="H90" s="864"/>
    </row>
    <row r="91" spans="8:8" ht="15.75" customHeight="1" x14ac:dyDescent="0.35">
      <c r="H91" s="864"/>
    </row>
    <row r="92" spans="8:8" ht="15.75" customHeight="1" x14ac:dyDescent="0.35">
      <c r="H92" s="864"/>
    </row>
    <row r="93" spans="8:8" ht="15.75" customHeight="1" x14ac:dyDescent="0.35">
      <c r="H93" s="864"/>
    </row>
    <row r="94" spans="8:8" ht="15.75" customHeight="1" x14ac:dyDescent="0.35">
      <c r="H94" s="864"/>
    </row>
    <row r="95" spans="8:8" ht="15.75" customHeight="1" x14ac:dyDescent="0.35">
      <c r="H95" s="864"/>
    </row>
    <row r="96" spans="8:8" ht="15.75" customHeight="1" x14ac:dyDescent="0.35">
      <c r="H96" s="864"/>
    </row>
    <row r="97" spans="8:8" ht="15.75" customHeight="1" x14ac:dyDescent="0.35">
      <c r="H97" s="864"/>
    </row>
    <row r="98" spans="8:8" ht="15.75" customHeight="1" x14ac:dyDescent="0.35">
      <c r="H98" s="864"/>
    </row>
    <row r="99" spans="8:8" ht="15.75" customHeight="1" x14ac:dyDescent="0.35">
      <c r="H99" s="864"/>
    </row>
    <row r="100" spans="8:8" ht="15.75" customHeight="1" x14ac:dyDescent="0.35">
      <c r="H100" s="864"/>
    </row>
    <row r="101" spans="8:8" ht="15.75" customHeight="1" x14ac:dyDescent="0.35">
      <c r="H101" s="864"/>
    </row>
    <row r="102" spans="8:8" ht="15.75" customHeight="1" x14ac:dyDescent="0.35">
      <c r="H102" s="864"/>
    </row>
    <row r="103" spans="8:8" ht="15.75" customHeight="1" x14ac:dyDescent="0.35">
      <c r="H103" s="864"/>
    </row>
    <row r="104" spans="8:8" ht="15.75" customHeight="1" x14ac:dyDescent="0.35">
      <c r="H104" s="864"/>
    </row>
    <row r="105" spans="8:8" ht="15.75" customHeight="1" x14ac:dyDescent="0.35">
      <c r="H105" s="864"/>
    </row>
    <row r="106" spans="8:8" ht="15.75" customHeight="1" x14ac:dyDescent="0.35">
      <c r="H106" s="864"/>
    </row>
    <row r="107" spans="8:8" ht="15.75" customHeight="1" x14ac:dyDescent="0.35">
      <c r="H107" s="864"/>
    </row>
    <row r="108" spans="8:8" ht="15.75" customHeight="1" x14ac:dyDescent="0.35">
      <c r="H108" s="864"/>
    </row>
    <row r="109" spans="8:8" ht="15.75" customHeight="1" x14ac:dyDescent="0.35">
      <c r="H109" s="864"/>
    </row>
    <row r="110" spans="8:8" ht="15.75" customHeight="1" x14ac:dyDescent="0.35">
      <c r="H110" s="864"/>
    </row>
    <row r="111" spans="8:8" ht="15.75" customHeight="1" x14ac:dyDescent="0.35">
      <c r="H111" s="864"/>
    </row>
    <row r="112" spans="8:8" ht="15.75" customHeight="1" x14ac:dyDescent="0.35">
      <c r="H112" s="864"/>
    </row>
    <row r="113" spans="8:8" ht="15.75" customHeight="1" x14ac:dyDescent="0.35">
      <c r="H113" s="864"/>
    </row>
    <row r="114" spans="8:8" ht="15.75" customHeight="1" x14ac:dyDescent="0.35">
      <c r="H114" s="864"/>
    </row>
    <row r="115" spans="8:8" ht="15.75" customHeight="1" x14ac:dyDescent="0.35">
      <c r="H115" s="864"/>
    </row>
    <row r="116" spans="8:8" ht="15.75" customHeight="1" x14ac:dyDescent="0.35">
      <c r="H116" s="864"/>
    </row>
    <row r="117" spans="8:8" ht="15.75" customHeight="1" x14ac:dyDescent="0.35">
      <c r="H117" s="864"/>
    </row>
    <row r="118" spans="8:8" ht="15.75" customHeight="1" x14ac:dyDescent="0.35">
      <c r="H118" s="864"/>
    </row>
    <row r="119" spans="8:8" ht="15.75" customHeight="1" x14ac:dyDescent="0.35">
      <c r="H119" s="864"/>
    </row>
    <row r="120" spans="8:8" ht="15.75" customHeight="1" x14ac:dyDescent="0.35">
      <c r="H120" s="864"/>
    </row>
    <row r="121" spans="8:8" ht="15.75" customHeight="1" x14ac:dyDescent="0.35">
      <c r="H121" s="864"/>
    </row>
    <row r="122" spans="8:8" ht="15.75" customHeight="1" x14ac:dyDescent="0.35">
      <c r="H122" s="864"/>
    </row>
    <row r="123" spans="8:8" ht="15.75" customHeight="1" x14ac:dyDescent="0.35">
      <c r="H123" s="864"/>
    </row>
    <row r="124" spans="8:8" ht="15.75" customHeight="1" x14ac:dyDescent="0.35">
      <c r="H124" s="864"/>
    </row>
    <row r="125" spans="8:8" ht="15.75" customHeight="1" x14ac:dyDescent="0.35">
      <c r="H125" s="864"/>
    </row>
    <row r="126" spans="8:8" ht="15.75" customHeight="1" x14ac:dyDescent="0.35">
      <c r="H126" s="864"/>
    </row>
    <row r="127" spans="8:8" ht="15.75" customHeight="1" x14ac:dyDescent="0.35">
      <c r="H127" s="864"/>
    </row>
    <row r="128" spans="8:8" ht="15.75" customHeight="1" x14ac:dyDescent="0.35">
      <c r="H128" s="864"/>
    </row>
    <row r="129" spans="8:8" ht="15.75" customHeight="1" x14ac:dyDescent="0.35">
      <c r="H129" s="864"/>
    </row>
    <row r="130" spans="8:8" ht="15.75" customHeight="1" x14ac:dyDescent="0.35">
      <c r="H130" s="864"/>
    </row>
    <row r="131" spans="8:8" ht="15.75" customHeight="1" x14ac:dyDescent="0.35">
      <c r="H131" s="864"/>
    </row>
    <row r="132" spans="8:8" ht="15.75" customHeight="1" x14ac:dyDescent="0.35">
      <c r="H132" s="864"/>
    </row>
    <row r="133" spans="8:8" ht="15.75" customHeight="1" x14ac:dyDescent="0.35">
      <c r="H133" s="864"/>
    </row>
    <row r="134" spans="8:8" ht="15.75" customHeight="1" x14ac:dyDescent="0.35">
      <c r="H134" s="864"/>
    </row>
    <row r="135" spans="8:8" ht="15.75" customHeight="1" x14ac:dyDescent="0.35">
      <c r="H135" s="864"/>
    </row>
    <row r="136" spans="8:8" ht="15.75" customHeight="1" x14ac:dyDescent="0.35">
      <c r="H136" s="864"/>
    </row>
    <row r="137" spans="8:8" ht="15.75" customHeight="1" x14ac:dyDescent="0.35">
      <c r="H137" s="864"/>
    </row>
    <row r="138" spans="8:8" ht="15.75" customHeight="1" x14ac:dyDescent="0.35">
      <c r="H138" s="864"/>
    </row>
    <row r="139" spans="8:8" ht="15.75" customHeight="1" x14ac:dyDescent="0.35">
      <c r="H139" s="864"/>
    </row>
    <row r="140" spans="8:8" ht="15.75" customHeight="1" x14ac:dyDescent="0.35">
      <c r="H140" s="864"/>
    </row>
    <row r="141" spans="8:8" ht="15.75" customHeight="1" x14ac:dyDescent="0.35">
      <c r="H141" s="864"/>
    </row>
    <row r="142" spans="8:8" ht="15.75" customHeight="1" x14ac:dyDescent="0.35">
      <c r="H142" s="864"/>
    </row>
    <row r="143" spans="8:8" ht="15.75" customHeight="1" x14ac:dyDescent="0.35">
      <c r="H143" s="864"/>
    </row>
    <row r="144" spans="8:8" ht="15.75" customHeight="1" x14ac:dyDescent="0.35">
      <c r="H144" s="864"/>
    </row>
    <row r="145" spans="8:8" ht="15.75" customHeight="1" x14ac:dyDescent="0.35">
      <c r="H145" s="864"/>
    </row>
    <row r="146" spans="8:8" ht="15.75" customHeight="1" x14ac:dyDescent="0.35">
      <c r="H146" s="864"/>
    </row>
    <row r="147" spans="8:8" ht="15.75" customHeight="1" x14ac:dyDescent="0.35">
      <c r="H147" s="864"/>
    </row>
    <row r="148" spans="8:8" ht="15.75" customHeight="1" x14ac:dyDescent="0.35">
      <c r="H148" s="864"/>
    </row>
    <row r="149" spans="8:8" ht="15.75" customHeight="1" x14ac:dyDescent="0.35">
      <c r="H149" s="864"/>
    </row>
    <row r="150" spans="8:8" ht="15.75" customHeight="1" x14ac:dyDescent="0.35">
      <c r="H150" s="864"/>
    </row>
    <row r="151" spans="8:8" ht="15.75" customHeight="1" x14ac:dyDescent="0.35">
      <c r="H151" s="864"/>
    </row>
    <row r="152" spans="8:8" ht="15.75" customHeight="1" x14ac:dyDescent="0.35">
      <c r="H152" s="864"/>
    </row>
    <row r="153" spans="8:8" ht="15.75" customHeight="1" x14ac:dyDescent="0.35">
      <c r="H153" s="864"/>
    </row>
    <row r="154" spans="8:8" ht="15.75" customHeight="1" x14ac:dyDescent="0.35">
      <c r="H154" s="864"/>
    </row>
    <row r="155" spans="8:8" ht="15.75" customHeight="1" x14ac:dyDescent="0.35">
      <c r="H155" s="864"/>
    </row>
    <row r="156" spans="8:8" ht="15.75" customHeight="1" x14ac:dyDescent="0.35">
      <c r="H156" s="864"/>
    </row>
    <row r="157" spans="8:8" ht="15.75" customHeight="1" x14ac:dyDescent="0.35">
      <c r="H157" s="864"/>
    </row>
    <row r="158" spans="8:8" ht="15.75" customHeight="1" x14ac:dyDescent="0.35">
      <c r="H158" s="864"/>
    </row>
    <row r="159" spans="8:8" ht="15.75" customHeight="1" x14ac:dyDescent="0.35">
      <c r="H159" s="864"/>
    </row>
    <row r="160" spans="8:8" ht="15.75" customHeight="1" x14ac:dyDescent="0.35">
      <c r="H160" s="864"/>
    </row>
    <row r="161" spans="8:8" ht="15.75" customHeight="1" x14ac:dyDescent="0.35">
      <c r="H161" s="864"/>
    </row>
    <row r="162" spans="8:8" ht="15.75" customHeight="1" x14ac:dyDescent="0.35">
      <c r="H162" s="864"/>
    </row>
    <row r="163" spans="8:8" ht="15.75" customHeight="1" x14ac:dyDescent="0.35">
      <c r="H163" s="864"/>
    </row>
    <row r="164" spans="8:8" ht="15.75" customHeight="1" x14ac:dyDescent="0.35">
      <c r="H164" s="864"/>
    </row>
    <row r="165" spans="8:8" ht="15.75" customHeight="1" x14ac:dyDescent="0.35">
      <c r="H165" s="864"/>
    </row>
    <row r="166" spans="8:8" ht="15.75" customHeight="1" x14ac:dyDescent="0.35">
      <c r="H166" s="864"/>
    </row>
    <row r="167" spans="8:8" ht="15.75" customHeight="1" x14ac:dyDescent="0.35">
      <c r="H167" s="864"/>
    </row>
    <row r="168" spans="8:8" ht="15.75" customHeight="1" x14ac:dyDescent="0.35">
      <c r="H168" s="864"/>
    </row>
    <row r="169" spans="8:8" ht="15.75" customHeight="1" x14ac:dyDescent="0.35">
      <c r="H169" s="864"/>
    </row>
    <row r="170" spans="8:8" ht="15.75" customHeight="1" x14ac:dyDescent="0.35">
      <c r="H170" s="864"/>
    </row>
    <row r="171" spans="8:8" ht="15.75" customHeight="1" x14ac:dyDescent="0.35">
      <c r="H171" s="864"/>
    </row>
    <row r="172" spans="8:8" ht="15.75" customHeight="1" x14ac:dyDescent="0.35">
      <c r="H172" s="864"/>
    </row>
    <row r="173" spans="8:8" ht="15.75" customHeight="1" x14ac:dyDescent="0.35">
      <c r="H173" s="864"/>
    </row>
    <row r="174" spans="8:8" ht="15.75" customHeight="1" x14ac:dyDescent="0.35">
      <c r="H174" s="864"/>
    </row>
    <row r="175" spans="8:8" ht="15.75" customHeight="1" x14ac:dyDescent="0.35">
      <c r="H175" s="864"/>
    </row>
    <row r="176" spans="8:8" ht="15.75" customHeight="1" x14ac:dyDescent="0.35">
      <c r="H176" s="864"/>
    </row>
    <row r="177" spans="8:8" ht="15.75" customHeight="1" x14ac:dyDescent="0.35">
      <c r="H177" s="864"/>
    </row>
    <row r="178" spans="8:8" ht="15.75" customHeight="1" x14ac:dyDescent="0.35">
      <c r="H178" s="864"/>
    </row>
    <row r="179" spans="8:8" ht="15.75" customHeight="1" x14ac:dyDescent="0.35">
      <c r="H179" s="864"/>
    </row>
    <row r="180" spans="8:8" ht="15.75" customHeight="1" x14ac:dyDescent="0.35">
      <c r="H180" s="864"/>
    </row>
    <row r="181" spans="8:8" ht="15.75" customHeight="1" x14ac:dyDescent="0.35">
      <c r="H181" s="864"/>
    </row>
    <row r="182" spans="8:8" ht="15.75" customHeight="1" x14ac:dyDescent="0.35">
      <c r="H182" s="864"/>
    </row>
    <row r="183" spans="8:8" ht="15.75" customHeight="1" x14ac:dyDescent="0.35">
      <c r="H183" s="864"/>
    </row>
    <row r="184" spans="8:8" ht="15.75" customHeight="1" x14ac:dyDescent="0.35">
      <c r="H184" s="864"/>
    </row>
    <row r="185" spans="8:8" ht="15.75" customHeight="1" x14ac:dyDescent="0.35">
      <c r="H185" s="864"/>
    </row>
    <row r="186" spans="8:8" ht="15.75" customHeight="1" x14ac:dyDescent="0.35">
      <c r="H186" s="864"/>
    </row>
    <row r="187" spans="8:8" ht="15.75" customHeight="1" x14ac:dyDescent="0.35">
      <c r="H187" s="864"/>
    </row>
    <row r="188" spans="8:8" ht="15.75" customHeight="1" x14ac:dyDescent="0.35">
      <c r="H188" s="864"/>
    </row>
    <row r="189" spans="8:8" ht="15.75" customHeight="1" x14ac:dyDescent="0.35">
      <c r="H189" s="864"/>
    </row>
    <row r="190" spans="8:8" ht="15.75" customHeight="1" x14ac:dyDescent="0.35">
      <c r="H190" s="864"/>
    </row>
    <row r="191" spans="8:8" ht="15.75" customHeight="1" x14ac:dyDescent="0.35">
      <c r="H191" s="864"/>
    </row>
    <row r="192" spans="8:8" ht="15.75" customHeight="1" x14ac:dyDescent="0.35">
      <c r="H192" s="864"/>
    </row>
    <row r="193" spans="8:8" ht="15.75" customHeight="1" x14ac:dyDescent="0.35">
      <c r="H193" s="864"/>
    </row>
    <row r="194" spans="8:8" ht="15.75" customHeight="1" x14ac:dyDescent="0.35">
      <c r="H194" s="864"/>
    </row>
    <row r="195" spans="8:8" ht="15.75" customHeight="1" x14ac:dyDescent="0.35">
      <c r="H195" s="864"/>
    </row>
    <row r="196" spans="8:8" ht="15.75" customHeight="1" x14ac:dyDescent="0.35">
      <c r="H196" s="864"/>
    </row>
    <row r="197" spans="8:8" ht="15.75" customHeight="1" x14ac:dyDescent="0.35">
      <c r="H197" s="864"/>
    </row>
    <row r="198" spans="8:8" ht="15.75" customHeight="1" x14ac:dyDescent="0.35">
      <c r="H198" s="864"/>
    </row>
    <row r="199" spans="8:8" ht="15.75" customHeight="1" x14ac:dyDescent="0.35">
      <c r="H199" s="864"/>
    </row>
    <row r="200" spans="8:8" ht="15.75" customHeight="1" x14ac:dyDescent="0.35">
      <c r="H200" s="864"/>
    </row>
    <row r="201" spans="8:8" ht="15.75" customHeight="1" x14ac:dyDescent="0.35">
      <c r="H201" s="864"/>
    </row>
    <row r="202" spans="8:8" ht="15.75" customHeight="1" x14ac:dyDescent="0.35">
      <c r="H202" s="864"/>
    </row>
    <row r="203" spans="8:8" ht="15.75" customHeight="1" x14ac:dyDescent="0.35">
      <c r="H203" s="864"/>
    </row>
    <row r="204" spans="8:8" ht="15.75" customHeight="1" x14ac:dyDescent="0.35">
      <c r="H204" s="864"/>
    </row>
    <row r="205" spans="8:8" ht="15.75" customHeight="1" x14ac:dyDescent="0.35">
      <c r="H205" s="864"/>
    </row>
    <row r="206" spans="8:8" ht="15.75" customHeight="1" x14ac:dyDescent="0.35">
      <c r="H206" s="864"/>
    </row>
    <row r="207" spans="8:8" ht="15.75" customHeight="1" x14ac:dyDescent="0.35">
      <c r="H207" s="864"/>
    </row>
    <row r="208" spans="8:8" ht="15.75" customHeight="1" x14ac:dyDescent="0.35">
      <c r="H208" s="864"/>
    </row>
    <row r="209" spans="8:8" ht="15.75" customHeight="1" x14ac:dyDescent="0.35">
      <c r="H209" s="864"/>
    </row>
    <row r="210" spans="8:8" ht="15.75" customHeight="1" x14ac:dyDescent="0.35">
      <c r="H210" s="864"/>
    </row>
    <row r="211" spans="8:8" ht="15.75" customHeight="1" x14ac:dyDescent="0.35">
      <c r="H211" s="864"/>
    </row>
    <row r="212" spans="8:8" ht="15.75" customHeight="1" x14ac:dyDescent="0.35">
      <c r="H212" s="864"/>
    </row>
    <row r="213" spans="8:8" ht="15.75" customHeight="1" x14ac:dyDescent="0.35"/>
    <row r="214" spans="8:8" ht="15.75" customHeight="1" x14ac:dyDescent="0.35"/>
    <row r="215" spans="8:8" ht="15.75" customHeight="1" x14ac:dyDescent="0.35"/>
    <row r="216" spans="8:8" ht="15.75" customHeight="1" x14ac:dyDescent="0.35"/>
    <row r="217" spans="8:8" ht="15.75" customHeight="1" x14ac:dyDescent="0.35"/>
    <row r="218" spans="8:8" ht="15.75" customHeight="1" x14ac:dyDescent="0.35"/>
    <row r="219" spans="8:8" ht="15.75" customHeight="1" x14ac:dyDescent="0.35"/>
    <row r="220" spans="8:8" ht="15.75" customHeight="1" x14ac:dyDescent="0.35"/>
    <row r="221" spans="8:8" ht="15.75" customHeight="1" x14ac:dyDescent="0.35"/>
    <row r="222" spans="8:8" ht="15.75" customHeight="1" x14ac:dyDescent="0.35"/>
    <row r="223" spans="8:8" ht="15.75" customHeight="1" x14ac:dyDescent="0.35"/>
    <row r="224" spans="8:8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</sheetData>
  <mergeCells count="2">
    <mergeCell ref="B2:F2"/>
    <mergeCell ref="B14:F14"/>
  </mergeCells>
  <phoneticPr fontId="58" type="noConversion"/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66FF"/>
  </sheetPr>
  <dimension ref="B1:X1018"/>
  <sheetViews>
    <sheetView topLeftCell="A34" zoomScale="70" zoomScaleNormal="70" workbookViewId="0">
      <selection activeCell="R70" sqref="R70"/>
    </sheetView>
  </sheetViews>
  <sheetFormatPr defaultColWidth="14.453125" defaultRowHeight="15" customHeight="1" x14ac:dyDescent="0.35"/>
  <cols>
    <col min="1" max="1" width="9.1796875" customWidth="1"/>
    <col min="2" max="2" width="41.7265625" customWidth="1"/>
    <col min="3" max="3" width="8.1796875" customWidth="1"/>
    <col min="4" max="21" width="9.1796875" customWidth="1"/>
    <col min="22" max="22" width="12.1796875" customWidth="1"/>
    <col min="23" max="23" width="7.1796875" customWidth="1"/>
    <col min="24" max="24" width="42.81640625" customWidth="1"/>
  </cols>
  <sheetData>
    <row r="1" spans="2:24" ht="14.5" x14ac:dyDescent="0.35">
      <c r="B1" s="750"/>
      <c r="V1" s="1"/>
    </row>
    <row r="2" spans="2:24" ht="14.5" x14ac:dyDescent="0.35">
      <c r="B2" s="750" t="s">
        <v>1002</v>
      </c>
      <c r="V2" s="1"/>
    </row>
    <row r="3" spans="2:24" ht="28.5" x14ac:dyDescent="0.65">
      <c r="B3" s="1113" t="s">
        <v>894</v>
      </c>
      <c r="C3" s="1090"/>
      <c r="D3" s="1090"/>
      <c r="E3" s="1090"/>
      <c r="F3" s="1090"/>
      <c r="G3" s="1090"/>
      <c r="H3" s="1090"/>
      <c r="I3" s="1090"/>
      <c r="J3" s="1090"/>
      <c r="K3" s="1090"/>
      <c r="L3" s="1090"/>
      <c r="M3" s="1090"/>
      <c r="N3" s="1090"/>
      <c r="O3" s="1090"/>
      <c r="P3" s="1090"/>
      <c r="Q3" s="1090"/>
      <c r="R3" s="1090"/>
      <c r="S3" s="1090"/>
      <c r="T3" s="1090"/>
      <c r="U3" s="1090"/>
      <c r="V3" s="1090"/>
      <c r="W3" s="1090"/>
      <c r="X3" s="1098"/>
    </row>
    <row r="4" spans="2:24" ht="18" customHeight="1" x14ac:dyDescent="0.5">
      <c r="B4" s="750"/>
      <c r="D4" s="241"/>
      <c r="E4" s="241"/>
      <c r="F4" s="241"/>
      <c r="G4" s="242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"/>
      <c r="S4" s="2" t="s">
        <v>20</v>
      </c>
      <c r="T4" s="2" t="s">
        <v>21</v>
      </c>
      <c r="U4" s="2" t="s">
        <v>895</v>
      </c>
      <c r="V4" s="477" t="s">
        <v>896</v>
      </c>
      <c r="X4" s="751" t="s">
        <v>897</v>
      </c>
    </row>
    <row r="5" spans="2:24" ht="18.5" x14ac:dyDescent="0.45">
      <c r="B5" s="752" t="s">
        <v>898</v>
      </c>
      <c r="C5" s="703" t="s">
        <v>899</v>
      </c>
      <c r="D5" s="753">
        <f>ECLIPSE!G14</f>
        <v>0</v>
      </c>
      <c r="E5" s="754">
        <f>ECLIPSE!H14</f>
        <v>0</v>
      </c>
      <c r="F5" s="755">
        <f>ECLIPSE!I14</f>
        <v>0</v>
      </c>
      <c r="G5" s="756">
        <f>ECLIPSE!J14</f>
        <v>0</v>
      </c>
      <c r="H5" s="757">
        <f>ECLIPSE!K14</f>
        <v>0</v>
      </c>
      <c r="I5" s="758">
        <f>ECLIPSE!L14</f>
        <v>0</v>
      </c>
      <c r="J5" s="759">
        <f>ECLIPSE!M14</f>
        <v>0</v>
      </c>
      <c r="K5" s="760">
        <f>ECLIPSE!N14</f>
        <v>0</v>
      </c>
      <c r="L5" s="761">
        <f>ECLIPSE!O14</f>
        <v>0</v>
      </c>
      <c r="M5" s="762">
        <f>ECLIPSE!P14</f>
        <v>0</v>
      </c>
      <c r="N5" s="763">
        <f>ECLIPSE!Q14</f>
        <v>0</v>
      </c>
      <c r="O5" s="764">
        <f>ECLIPSE!R14</f>
        <v>0</v>
      </c>
      <c r="P5" s="765">
        <f>ECLIPSE!S14</f>
        <v>0</v>
      </c>
      <c r="Q5" s="109">
        <f>ECLIPSE!T14</f>
        <v>0</v>
      </c>
      <c r="R5" s="766" t="s">
        <v>900</v>
      </c>
      <c r="S5" s="358">
        <f>ECLIPSE!U14</f>
        <v>0</v>
      </c>
      <c r="T5" s="358">
        <f>ECLIPSE!V14</f>
        <v>0</v>
      </c>
      <c r="U5" s="358">
        <f>ECLIPSE!W14</f>
        <v>0</v>
      </c>
      <c r="V5" s="767">
        <f>ECLIPSE!X14</f>
        <v>0</v>
      </c>
    </row>
    <row r="6" spans="2:24" ht="14.5" x14ac:dyDescent="0.35">
      <c r="B6" s="750"/>
      <c r="C6" s="3"/>
      <c r="D6" s="241"/>
      <c r="E6" s="241"/>
      <c r="F6" s="241"/>
      <c r="G6" s="242"/>
      <c r="H6" s="241"/>
      <c r="I6" s="241"/>
      <c r="J6" s="241"/>
      <c r="K6" s="241"/>
      <c r="L6" s="241"/>
      <c r="M6" s="241"/>
      <c r="N6" s="241"/>
      <c r="O6" s="241"/>
      <c r="P6" s="241"/>
      <c r="Q6" s="242"/>
      <c r="R6" s="241"/>
      <c r="S6" s="241"/>
      <c r="T6" s="2"/>
      <c r="U6" s="2"/>
      <c r="V6" s="477"/>
      <c r="X6" s="703" t="s">
        <v>901</v>
      </c>
    </row>
    <row r="7" spans="2:24" ht="18.5" x14ac:dyDescent="0.45">
      <c r="B7" s="752" t="s">
        <v>902</v>
      </c>
      <c r="C7" s="703" t="s">
        <v>899</v>
      </c>
      <c r="D7" s="753">
        <f>ECLIPSE!G31</f>
        <v>0</v>
      </c>
      <c r="E7" s="754">
        <f>ECLIPSE!H31</f>
        <v>0</v>
      </c>
      <c r="F7" s="755">
        <f>ECLIPSE!I31</f>
        <v>0</v>
      </c>
      <c r="G7" s="756">
        <f>ECLIPSE!J31</f>
        <v>0</v>
      </c>
      <c r="H7" s="757">
        <f>ECLIPSE!K31</f>
        <v>0</v>
      </c>
      <c r="I7" s="758">
        <f>ECLIPSE!L31</f>
        <v>0</v>
      </c>
      <c r="J7" s="759">
        <f>ECLIPSE!M31</f>
        <v>0</v>
      </c>
      <c r="K7" s="760">
        <f>ECLIPSE!N31</f>
        <v>0</v>
      </c>
      <c r="L7" s="761">
        <f>ECLIPSE!O31</f>
        <v>0</v>
      </c>
      <c r="M7" s="762">
        <f>ECLIPSE!P31</f>
        <v>0</v>
      </c>
      <c r="N7" s="763">
        <f>ECLIPSE!Q31</f>
        <v>0</v>
      </c>
      <c r="O7" s="764">
        <f>ECLIPSE!R31</f>
        <v>0</v>
      </c>
      <c r="P7" s="765">
        <f>ECLIPSE!S31</f>
        <v>0</v>
      </c>
      <c r="Q7" s="109">
        <f>ECLIPSE!T31</f>
        <v>0</v>
      </c>
      <c r="R7" s="766" t="s">
        <v>900</v>
      </c>
      <c r="S7" s="358">
        <f>ECLIPSE!U31</f>
        <v>0</v>
      </c>
      <c r="T7" s="358">
        <f>ECLIPSE!V31</f>
        <v>0</v>
      </c>
      <c r="U7" s="358">
        <f>ECLIPSE!W31</f>
        <v>0</v>
      </c>
      <c r="V7" s="767">
        <f>ECLIPSE!X31</f>
        <v>0</v>
      </c>
      <c r="X7" s="768" t="s">
        <v>903</v>
      </c>
    </row>
    <row r="8" spans="2:24" ht="14.5" x14ac:dyDescent="0.35">
      <c r="B8" s="750"/>
      <c r="C8" s="3"/>
      <c r="D8" s="241"/>
      <c r="E8" s="241"/>
      <c r="F8" s="241"/>
      <c r="G8" s="242"/>
      <c r="H8" s="241"/>
      <c r="I8" s="241"/>
      <c r="J8" s="241"/>
      <c r="K8" s="241"/>
      <c r="L8" s="241"/>
      <c r="M8" s="241"/>
      <c r="N8" s="241"/>
      <c r="O8" s="241"/>
      <c r="P8" s="241"/>
      <c r="Q8" s="242"/>
      <c r="R8" s="241"/>
      <c r="S8" s="241"/>
      <c r="T8" s="2"/>
      <c r="U8" s="2"/>
      <c r="V8" s="477"/>
      <c r="X8" s="769" t="s">
        <v>904</v>
      </c>
    </row>
    <row r="9" spans="2:24" ht="18.5" x14ac:dyDescent="0.45">
      <c r="B9" s="752" t="s">
        <v>905</v>
      </c>
      <c r="C9" s="3" t="s">
        <v>899</v>
      </c>
      <c r="D9" s="753">
        <f>ECLIPSE!G46</f>
        <v>0</v>
      </c>
      <c r="E9" s="754">
        <f>ECLIPSE!H46</f>
        <v>0</v>
      </c>
      <c r="F9" s="755">
        <f>ECLIPSE!I46</f>
        <v>0</v>
      </c>
      <c r="G9" s="756">
        <f>ECLIPSE!J46</f>
        <v>0</v>
      </c>
      <c r="H9" s="757">
        <f>ECLIPSE!K46</f>
        <v>0</v>
      </c>
      <c r="I9" s="758">
        <f>ECLIPSE!L46</f>
        <v>0</v>
      </c>
      <c r="J9" s="759">
        <f>ECLIPSE!M46</f>
        <v>0</v>
      </c>
      <c r="K9" s="760">
        <f>ECLIPSE!N46</f>
        <v>0</v>
      </c>
      <c r="L9" s="761">
        <f>ECLIPSE!O46</f>
        <v>0</v>
      </c>
      <c r="M9" s="762">
        <f>ECLIPSE!P46</f>
        <v>0</v>
      </c>
      <c r="N9" s="763">
        <f>ECLIPSE!Q46</f>
        <v>0</v>
      </c>
      <c r="O9" s="764">
        <f>ECLIPSE!R46</f>
        <v>0</v>
      </c>
      <c r="P9" s="765">
        <f>ECLIPSE!S46</f>
        <v>0</v>
      </c>
      <c r="Q9" s="109">
        <f>ECLIPSE!T46</f>
        <v>0</v>
      </c>
      <c r="R9" s="766" t="s">
        <v>900</v>
      </c>
      <c r="S9" s="358">
        <f>ECLIPSE!U46</f>
        <v>0</v>
      </c>
      <c r="T9" s="358">
        <f>ECLIPSE!V46</f>
        <v>0</v>
      </c>
      <c r="U9" s="358">
        <f>ECLIPSE!W46</f>
        <v>0</v>
      </c>
      <c r="V9" s="767">
        <f>ECLIPSE!X46</f>
        <v>0</v>
      </c>
      <c r="X9" s="770" t="s">
        <v>906</v>
      </c>
    </row>
    <row r="10" spans="2:24" ht="14.5" x14ac:dyDescent="0.35">
      <c r="B10" s="750"/>
      <c r="X10" s="771" t="s">
        <v>907</v>
      </c>
    </row>
    <row r="11" spans="2:24" ht="18.5" x14ac:dyDescent="0.45">
      <c r="B11" s="772" t="s">
        <v>908</v>
      </c>
      <c r="C11" s="3" t="s">
        <v>899</v>
      </c>
      <c r="D11" s="753">
        <f>TERROR!G20</f>
        <v>0</v>
      </c>
      <c r="E11" s="754">
        <f>TERROR!H20</f>
        <v>0</v>
      </c>
      <c r="F11" s="755">
        <f>TERROR!I20</f>
        <v>0</v>
      </c>
      <c r="G11" s="756">
        <f>TERROR!J20</f>
        <v>0</v>
      </c>
      <c r="H11" s="757">
        <f>TERROR!K20</f>
        <v>0</v>
      </c>
      <c r="I11" s="758">
        <f>TERROR!L20</f>
        <v>0</v>
      </c>
      <c r="J11" s="759">
        <f>TERROR!M20</f>
        <v>0</v>
      </c>
      <c r="K11" s="760">
        <f>TERROR!N20</f>
        <v>0</v>
      </c>
      <c r="L11" s="761">
        <f>TERROR!O20</f>
        <v>0</v>
      </c>
      <c r="M11" s="762">
        <f>TERROR!P20</f>
        <v>0</v>
      </c>
      <c r="N11" s="763">
        <f>TERROR!Q20</f>
        <v>0</v>
      </c>
      <c r="O11" s="764">
        <f>TERROR!R20</f>
        <v>0</v>
      </c>
      <c r="P11" s="765">
        <f>TERROR!S20</f>
        <v>0</v>
      </c>
      <c r="Q11" s="109">
        <f>TERROR!T20</f>
        <v>0</v>
      </c>
      <c r="R11" s="766" t="s">
        <v>900</v>
      </c>
      <c r="S11" s="358">
        <f>TERROR!U20</f>
        <v>0</v>
      </c>
      <c r="T11" s="358">
        <f>TERROR!V20</f>
        <v>0</v>
      </c>
      <c r="U11" s="358">
        <f>TERROR!W20</f>
        <v>0</v>
      </c>
      <c r="V11" s="767">
        <f>TERROR!X20</f>
        <v>0</v>
      </c>
      <c r="X11" s="773" t="s">
        <v>909</v>
      </c>
    </row>
    <row r="12" spans="2:24" ht="14.5" x14ac:dyDescent="0.35">
      <c r="B12" s="750"/>
      <c r="C12" s="3"/>
      <c r="D12" s="241"/>
      <c r="E12" s="241"/>
      <c r="F12" s="241"/>
      <c r="G12" s="241"/>
      <c r="H12" s="241"/>
      <c r="I12" s="241"/>
      <c r="J12" s="241"/>
      <c r="K12" s="241"/>
      <c r="L12" s="774"/>
      <c r="M12" s="241"/>
      <c r="N12" s="241"/>
      <c r="O12" s="241"/>
      <c r="P12" s="241"/>
      <c r="Q12" s="242"/>
      <c r="R12" s="241"/>
      <c r="S12" s="241"/>
      <c r="T12" s="2"/>
      <c r="U12" s="2"/>
      <c r="V12" s="477"/>
      <c r="X12" s="775" t="s">
        <v>910</v>
      </c>
    </row>
    <row r="13" spans="2:24" ht="18.5" x14ac:dyDescent="0.45">
      <c r="B13" s="776" t="s">
        <v>911</v>
      </c>
      <c r="C13" s="3" t="s">
        <v>899</v>
      </c>
      <c r="D13" s="96">
        <f>'FANGS DT'!G19</f>
        <v>0</v>
      </c>
      <c r="E13" s="97">
        <f>'FANGS DT'!H19</f>
        <v>0</v>
      </c>
      <c r="F13" s="137">
        <f>'FANGS DT'!I19</f>
        <v>0</v>
      </c>
      <c r="G13" s="301">
        <f>'FANGS DT'!J19</f>
        <v>0</v>
      </c>
      <c r="H13" s="138">
        <f>'FANGS DT'!K19</f>
        <v>0</v>
      </c>
      <c r="I13" s="777">
        <f>'FANGS DT'!L19</f>
        <v>0</v>
      </c>
      <c r="J13" s="102">
        <f>'FANGS DT'!M19</f>
        <v>0</v>
      </c>
      <c r="K13" s="103">
        <f>'FANGS DT'!N19</f>
        <v>0</v>
      </c>
      <c r="L13" s="778">
        <f>'FANGS DT'!O19</f>
        <v>0</v>
      </c>
      <c r="M13" s="105">
        <f>'FANGS DT'!P19</f>
        <v>0</v>
      </c>
      <c r="N13" s="106">
        <f>'FANGS DT'!Q19</f>
        <v>0</v>
      </c>
      <c r="O13" s="779">
        <f>'FANGS DT'!R19</f>
        <v>0</v>
      </c>
      <c r="P13" s="305">
        <f>'FANGS DT'!S19</f>
        <v>0</v>
      </c>
      <c r="Q13" s="306">
        <f>'FANGS DT'!T19</f>
        <v>0</v>
      </c>
      <c r="R13" s="766" t="s">
        <v>900</v>
      </c>
      <c r="S13" s="108">
        <f>'FANGS DT'!U19</f>
        <v>0</v>
      </c>
      <c r="T13" s="108">
        <f>'FANGS DT'!V19</f>
        <v>0</v>
      </c>
      <c r="U13" s="108">
        <f>'FANGS DT'!W19</f>
        <v>0</v>
      </c>
      <c r="V13" s="767">
        <f>'FANGS DT'!X19</f>
        <v>0</v>
      </c>
      <c r="X13" s="780" t="s">
        <v>912</v>
      </c>
    </row>
    <row r="14" spans="2:24" ht="18.5" x14ac:dyDescent="0.45">
      <c r="B14" s="781"/>
      <c r="C14" s="3"/>
      <c r="D14" s="782"/>
      <c r="E14" s="782"/>
      <c r="F14" s="782"/>
      <c r="G14" s="783"/>
      <c r="H14" s="782"/>
      <c r="I14" s="782"/>
      <c r="J14" s="782"/>
      <c r="K14" s="782"/>
      <c r="L14" s="782"/>
      <c r="M14" s="782"/>
      <c r="N14" s="782"/>
      <c r="O14" s="782"/>
      <c r="P14" s="782"/>
      <c r="Q14" s="784"/>
      <c r="R14" s="241"/>
      <c r="S14" s="241"/>
      <c r="T14" s="2"/>
      <c r="U14" s="2"/>
      <c r="V14" s="767"/>
      <c r="X14" s="785" t="s">
        <v>913</v>
      </c>
    </row>
    <row r="15" spans="2:24" ht="18.5" x14ac:dyDescent="0.45">
      <c r="B15" s="786" t="s">
        <v>914</v>
      </c>
      <c r="C15" s="3" t="s">
        <v>899</v>
      </c>
      <c r="D15" s="96">
        <f>'COMMAS DT'!G19</f>
        <v>0</v>
      </c>
      <c r="E15" s="97">
        <f>'COMMAS DT'!H19</f>
        <v>0</v>
      </c>
      <c r="F15" s="137">
        <f>'COMMAS DT'!I19</f>
        <v>0</v>
      </c>
      <c r="G15" s="301">
        <f>'COMMAS DT'!J19</f>
        <v>0</v>
      </c>
      <c r="H15" s="138">
        <f>'COMMAS DT'!K19</f>
        <v>0</v>
      </c>
      <c r="I15" s="777">
        <f>'COMMAS DT'!L19</f>
        <v>0</v>
      </c>
      <c r="J15" s="102">
        <f>'COMMAS DT'!M19</f>
        <v>0</v>
      </c>
      <c r="K15" s="103">
        <f>'COMMAS DT'!N19</f>
        <v>0</v>
      </c>
      <c r="L15" s="778">
        <f>'COMMAS DT'!O19</f>
        <v>0</v>
      </c>
      <c r="M15" s="105">
        <f>'COMMAS DT'!P19</f>
        <v>0</v>
      </c>
      <c r="N15" s="106">
        <f>'COMMAS DT'!Q19</f>
        <v>0</v>
      </c>
      <c r="O15" s="779">
        <f>'COMMAS DT'!R19</f>
        <v>0</v>
      </c>
      <c r="P15" s="305">
        <f>'COMMAS DT'!S19</f>
        <v>0</v>
      </c>
      <c r="Q15" s="306">
        <f>'COMMAS DT'!T19</f>
        <v>0</v>
      </c>
      <c r="R15" s="766" t="s">
        <v>900</v>
      </c>
      <c r="S15" s="108">
        <f>'COMMAS DT'!U19</f>
        <v>0</v>
      </c>
      <c r="T15" s="108">
        <f>'COMMAS DT'!V19</f>
        <v>0</v>
      </c>
      <c r="U15" s="108">
        <f>'COMMAS DT'!W19</f>
        <v>0</v>
      </c>
      <c r="V15" s="767">
        <f>'COMMAS DT'!X19</f>
        <v>0</v>
      </c>
      <c r="X15" s="787" t="s">
        <v>915</v>
      </c>
    </row>
    <row r="16" spans="2:24" ht="14.5" x14ac:dyDescent="0.35">
      <c r="B16" s="750"/>
      <c r="C16" s="3"/>
      <c r="D16" s="241"/>
      <c r="E16" s="241"/>
      <c r="F16" s="241"/>
      <c r="G16" s="242"/>
      <c r="H16" s="241"/>
      <c r="I16" s="241"/>
      <c r="J16" s="241"/>
      <c r="K16" s="241"/>
      <c r="L16" s="241"/>
      <c r="M16" s="241"/>
      <c r="N16" s="241"/>
      <c r="O16" s="241"/>
      <c r="P16" s="241"/>
      <c r="Q16" s="788"/>
      <c r="R16" s="241"/>
      <c r="S16" s="241"/>
      <c r="T16" s="2"/>
      <c r="U16" s="2"/>
      <c r="V16" s="767"/>
      <c r="X16" s="789" t="s">
        <v>916</v>
      </c>
    </row>
    <row r="17" spans="2:24" ht="18.5" x14ac:dyDescent="0.45">
      <c r="B17" s="786" t="s">
        <v>917</v>
      </c>
      <c r="C17" s="3" t="s">
        <v>899</v>
      </c>
      <c r="D17" s="96">
        <f>'COMMAS DT'!G36</f>
        <v>0</v>
      </c>
      <c r="E17" s="97">
        <f>'COMMAS DT'!H36</f>
        <v>0</v>
      </c>
      <c r="F17" s="137">
        <f>'COMMAS DT'!I36</f>
        <v>0</v>
      </c>
      <c r="G17" s="301">
        <f>'COMMAS DT'!J36</f>
        <v>0</v>
      </c>
      <c r="H17" s="138">
        <f>'COMMAS DT'!K36</f>
        <v>0</v>
      </c>
      <c r="I17" s="777">
        <f>'COMMAS DT'!L36</f>
        <v>0</v>
      </c>
      <c r="J17" s="102">
        <f>'COMMAS DT'!M36</f>
        <v>0</v>
      </c>
      <c r="K17" s="103">
        <f>'COMMAS DT'!N36</f>
        <v>0</v>
      </c>
      <c r="L17" s="778">
        <f>'COMMAS DT'!O36</f>
        <v>0</v>
      </c>
      <c r="M17" s="105">
        <f>'COMMAS DT'!P36</f>
        <v>0</v>
      </c>
      <c r="N17" s="106">
        <f>'COMMAS DT'!Q36</f>
        <v>0</v>
      </c>
      <c r="O17" s="779">
        <f>'COMMAS DT'!R36</f>
        <v>0</v>
      </c>
      <c r="P17" s="305">
        <f>'COMMAS DT'!S36</f>
        <v>0</v>
      </c>
      <c r="Q17" s="306">
        <f>'COMMAS DT'!T36</f>
        <v>0</v>
      </c>
      <c r="R17" s="766" t="s">
        <v>900</v>
      </c>
      <c r="S17" s="108">
        <f>'COMMAS DT'!U36</f>
        <v>0</v>
      </c>
      <c r="T17" s="108">
        <f>'COMMAS DT'!V36</f>
        <v>0</v>
      </c>
      <c r="U17" s="108">
        <f>'COMMAS DT'!W36</f>
        <v>0</v>
      </c>
      <c r="V17" s="767">
        <f>'COMMAS DT'!X36</f>
        <v>0</v>
      </c>
      <c r="X17" s="790" t="s">
        <v>918</v>
      </c>
    </row>
    <row r="18" spans="2:24" ht="14.5" x14ac:dyDescent="0.35">
      <c r="B18" s="750"/>
      <c r="Q18" s="791"/>
      <c r="V18" s="767"/>
      <c r="X18" s="792" t="s">
        <v>919</v>
      </c>
    </row>
    <row r="19" spans="2:24" ht="15.75" customHeight="1" x14ac:dyDescent="0.45">
      <c r="B19" s="786" t="s">
        <v>109</v>
      </c>
      <c r="C19" s="3" t="s">
        <v>920</v>
      </c>
      <c r="D19" s="753">
        <f>'COMMAS PE'!G17</f>
        <v>0</v>
      </c>
      <c r="E19" s="97">
        <f>'COMMAS PE'!H17</f>
        <v>0</v>
      </c>
      <c r="F19" s="137">
        <f>'COMMAS PE'!I17</f>
        <v>0</v>
      </c>
      <c r="G19" s="301">
        <f>'COMMAS PE'!J17</f>
        <v>0</v>
      </c>
      <c r="H19" s="138">
        <f>'COMMAS PE'!K17</f>
        <v>0</v>
      </c>
      <c r="I19" s="777">
        <f>'COMMAS PE'!L17</f>
        <v>0</v>
      </c>
      <c r="J19" s="102">
        <f>'COMMAS PE'!M17</f>
        <v>0</v>
      </c>
      <c r="K19" s="103">
        <f>'COMMAS PE'!N17</f>
        <v>0</v>
      </c>
      <c r="L19" s="778">
        <f>'COMMAS PE'!O17</f>
        <v>0</v>
      </c>
      <c r="M19" s="105">
        <f>'COMMAS PE'!P17</f>
        <v>0</v>
      </c>
      <c r="N19" s="106">
        <f>'COMMAS PE'!Q17</f>
        <v>0</v>
      </c>
      <c r="O19" s="779">
        <f>'COMMAS PE'!R17</f>
        <v>0</v>
      </c>
      <c r="P19" s="305">
        <f>'COMMAS PE'!S17</f>
        <v>0</v>
      </c>
      <c r="Q19" s="306">
        <f>'COMMAS PE'!T17</f>
        <v>0</v>
      </c>
      <c r="R19" s="766" t="s">
        <v>900</v>
      </c>
      <c r="S19" s="358">
        <f>'COMMAS PE'!U17</f>
        <v>0</v>
      </c>
      <c r="T19" s="358">
        <f>'COMMAS PE'!V17</f>
        <v>0</v>
      </c>
      <c r="U19" s="358">
        <f>'COMMAS PE'!W17</f>
        <v>0</v>
      </c>
      <c r="V19" s="767">
        <f>'COMMAS PE'!X17</f>
        <v>0</v>
      </c>
      <c r="X19" s="19" t="s">
        <v>921</v>
      </c>
    </row>
    <row r="20" spans="2:24" ht="15.75" customHeight="1" x14ac:dyDescent="0.35">
      <c r="B20" s="750"/>
      <c r="Q20" s="791"/>
      <c r="X20" s="793" t="s">
        <v>922</v>
      </c>
    </row>
    <row r="21" spans="2:24" ht="15.75" customHeight="1" x14ac:dyDescent="0.45">
      <c r="B21" s="794" t="s">
        <v>923</v>
      </c>
      <c r="C21" s="3" t="s">
        <v>920</v>
      </c>
      <c r="D21" s="753">
        <f>'BOARDERLINE PE'!F16</f>
        <v>0</v>
      </c>
      <c r="E21" s="97">
        <f>'BOARDERLINE PE'!G16</f>
        <v>0</v>
      </c>
      <c r="F21" s="137">
        <f>'BOARDERLINE PE'!H16</f>
        <v>0</v>
      </c>
      <c r="G21" s="301">
        <f>'BOARDERLINE PE'!I16</f>
        <v>0</v>
      </c>
      <c r="H21" s="138">
        <f>'BOARDERLINE PE'!J16</f>
        <v>0</v>
      </c>
      <c r="I21" s="777">
        <f>'BOARDERLINE PE'!K16</f>
        <v>0</v>
      </c>
      <c r="J21" s="102">
        <f>'BOARDERLINE PE'!L16</f>
        <v>0</v>
      </c>
      <c r="K21" s="103">
        <f>'BOARDERLINE PE'!M16</f>
        <v>0</v>
      </c>
      <c r="L21" s="778">
        <f>'BOARDERLINE PE'!N16</f>
        <v>0</v>
      </c>
      <c r="M21" s="105">
        <f>'BOARDERLINE PE'!O16</f>
        <v>0</v>
      </c>
      <c r="N21" s="106">
        <f>'BOARDERLINE PE'!P16</f>
        <v>0</v>
      </c>
      <c r="O21" s="779">
        <f>'BOARDERLINE PE'!Q16</f>
        <v>0</v>
      </c>
      <c r="P21" s="305">
        <f>'BOARDERLINE PE'!R16</f>
        <v>0</v>
      </c>
      <c r="Q21" s="306">
        <f>'BOARDERLINE PE'!S16</f>
        <v>0</v>
      </c>
      <c r="R21" s="766" t="s">
        <v>900</v>
      </c>
      <c r="S21" s="358">
        <f>'BOARDERLINE PE'!T16</f>
        <v>0</v>
      </c>
      <c r="T21" s="358">
        <f>'BOARDERLINE PE'!U16</f>
        <v>0</v>
      </c>
      <c r="U21" s="358">
        <f>'BOARDERLINE PE'!V16</f>
        <v>0</v>
      </c>
      <c r="V21" s="767">
        <f>'BOARDERLINE PE'!W16</f>
        <v>0</v>
      </c>
    </row>
    <row r="22" spans="2:24" ht="15.75" customHeight="1" x14ac:dyDescent="0.35">
      <c r="X22" s="703" t="s">
        <v>924</v>
      </c>
    </row>
    <row r="23" spans="2:24" ht="15.75" customHeight="1" x14ac:dyDescent="0.45">
      <c r="B23" s="776" t="s">
        <v>257</v>
      </c>
      <c r="C23" s="703" t="s">
        <v>899</v>
      </c>
      <c r="D23" s="753">
        <f>DRIFTS!G36</f>
        <v>0</v>
      </c>
      <c r="E23" s="754">
        <f>DRIFTS!H36</f>
        <v>0</v>
      </c>
      <c r="F23" s="755">
        <f>DRIFTS!I36</f>
        <v>0</v>
      </c>
      <c r="G23" s="756">
        <f>DRIFTS!J36</f>
        <v>0</v>
      </c>
      <c r="H23" s="757">
        <f>DRIFTS!K36</f>
        <v>0</v>
      </c>
      <c r="I23" s="758">
        <f>DRIFTS!L36</f>
        <v>0</v>
      </c>
      <c r="J23" s="759">
        <f>DRIFTS!M36</f>
        <v>0</v>
      </c>
      <c r="K23" s="760">
        <f>DRIFTS!N36</f>
        <v>0</v>
      </c>
      <c r="L23" s="761">
        <f>DRIFTS!O36</f>
        <v>0</v>
      </c>
      <c r="M23" s="762">
        <f>DRIFTS!P36</f>
        <v>0</v>
      </c>
      <c r="N23" s="763">
        <f>DRIFTS!Q36</f>
        <v>0</v>
      </c>
      <c r="O23" s="764">
        <f>DRIFTS!R36</f>
        <v>0</v>
      </c>
      <c r="P23" s="765">
        <f>DRIFTS!S36</f>
        <v>0</v>
      </c>
      <c r="Q23" s="109">
        <f>DRIFTS!T36</f>
        <v>0</v>
      </c>
      <c r="R23" s="766" t="s">
        <v>900</v>
      </c>
      <c r="S23" s="358">
        <f>DRIFTS!U36</f>
        <v>0</v>
      </c>
      <c r="T23" s="358">
        <f>DRIFTS!V36</f>
        <v>0</v>
      </c>
      <c r="U23" s="358">
        <f>DRIFTS!W36</f>
        <v>0</v>
      </c>
      <c r="V23" s="767">
        <f>DRIFTS!X36</f>
        <v>0</v>
      </c>
      <c r="X23" s="768" t="s">
        <v>925</v>
      </c>
    </row>
    <row r="24" spans="2:24" ht="15.75" customHeight="1" x14ac:dyDescent="0.35">
      <c r="B24" s="750"/>
      <c r="C24" s="3"/>
      <c r="D24" s="241"/>
      <c r="E24" s="241"/>
      <c r="F24" s="241"/>
      <c r="G24" s="242"/>
      <c r="H24" s="241"/>
      <c r="I24" s="241"/>
      <c r="J24" s="241"/>
      <c r="K24" s="241"/>
      <c r="L24" s="241"/>
      <c r="M24" s="241"/>
      <c r="N24" s="241"/>
      <c r="O24" s="241"/>
      <c r="P24" s="241"/>
      <c r="Q24" s="242"/>
      <c r="R24" s="241"/>
      <c r="S24" s="241"/>
      <c r="T24" s="2"/>
      <c r="U24" s="2"/>
      <c r="V24" s="477"/>
      <c r="X24" s="769" t="s">
        <v>904</v>
      </c>
    </row>
    <row r="25" spans="2:24" ht="15.75" customHeight="1" x14ac:dyDescent="0.45">
      <c r="B25" s="795" t="s">
        <v>336</v>
      </c>
      <c r="C25" s="703" t="s">
        <v>899</v>
      </c>
      <c r="D25" s="753">
        <f>LOAVES!G30</f>
        <v>0</v>
      </c>
      <c r="E25" s="754">
        <f>LOAVES!H30</f>
        <v>0</v>
      </c>
      <c r="F25" s="755">
        <f>LOAVES!I30</f>
        <v>0</v>
      </c>
      <c r="G25" s="756">
        <f>LOAVES!J30</f>
        <v>0</v>
      </c>
      <c r="H25" s="757">
        <f>LOAVES!K30</f>
        <v>0</v>
      </c>
      <c r="I25" s="758">
        <f>LOAVES!L30</f>
        <v>0</v>
      </c>
      <c r="J25" s="759">
        <f>LOAVES!M30</f>
        <v>0</v>
      </c>
      <c r="K25" s="760">
        <f>LOAVES!N30</f>
        <v>0</v>
      </c>
      <c r="L25" s="761">
        <f>LOAVES!O30</f>
        <v>0</v>
      </c>
      <c r="M25" s="762">
        <f>LOAVES!P30</f>
        <v>0</v>
      </c>
      <c r="N25" s="763">
        <f>LOAVES!Q30</f>
        <v>0</v>
      </c>
      <c r="O25" s="764">
        <f>LOAVES!R30</f>
        <v>0</v>
      </c>
      <c r="P25" s="765">
        <f>LOAVES!S30</f>
        <v>0</v>
      </c>
      <c r="Q25" s="109">
        <f>LOAVES!T30</f>
        <v>0</v>
      </c>
      <c r="R25" s="766" t="s">
        <v>900</v>
      </c>
      <c r="S25" s="358">
        <f>LOAVES!U30</f>
        <v>0</v>
      </c>
      <c r="T25" s="358">
        <f>LOAVES!V30</f>
        <v>0</v>
      </c>
      <c r="U25" s="358">
        <f>LOAVES!W30</f>
        <v>0</v>
      </c>
      <c r="V25" s="767">
        <f>LOAVES!X30</f>
        <v>0</v>
      </c>
      <c r="X25" s="770" t="s">
        <v>906</v>
      </c>
    </row>
    <row r="26" spans="2:24" ht="15.75" customHeight="1" x14ac:dyDescent="0.35">
      <c r="B26" s="750"/>
      <c r="C26" s="3"/>
      <c r="D26" s="241"/>
      <c r="E26" s="241"/>
      <c r="F26" s="241"/>
      <c r="G26" s="242"/>
      <c r="H26" s="241"/>
      <c r="I26" s="241"/>
      <c r="J26" s="241"/>
      <c r="K26" s="241"/>
      <c r="L26" s="241"/>
      <c r="M26" s="241"/>
      <c r="N26" s="241"/>
      <c r="O26" s="241"/>
      <c r="P26" s="241"/>
      <c r="Q26" s="242"/>
      <c r="R26" s="241"/>
      <c r="S26" s="241"/>
      <c r="T26" s="2"/>
      <c r="U26" s="2"/>
      <c r="V26" s="477"/>
      <c r="X26" s="771" t="s">
        <v>907</v>
      </c>
    </row>
    <row r="27" spans="2:24" ht="15.75" customHeight="1" x14ac:dyDescent="0.45">
      <c r="B27" s="786" t="s">
        <v>382</v>
      </c>
      <c r="C27" s="703" t="s">
        <v>899</v>
      </c>
      <c r="D27" s="753">
        <f>'ROCK LINE'!G40</f>
        <v>0</v>
      </c>
      <c r="E27" s="754">
        <f>'ROCK LINE'!H40</f>
        <v>0</v>
      </c>
      <c r="F27" s="755">
        <f>'ROCK LINE'!I40</f>
        <v>0</v>
      </c>
      <c r="G27" s="756">
        <f>'ROCK LINE'!J40</f>
        <v>0</v>
      </c>
      <c r="H27" s="757">
        <f>'ROCK LINE'!K40</f>
        <v>0</v>
      </c>
      <c r="I27" s="758">
        <f>'ROCK LINE'!L40</f>
        <v>0</v>
      </c>
      <c r="J27" s="759">
        <f>'ROCK LINE'!M40</f>
        <v>0</v>
      </c>
      <c r="K27" s="760">
        <f>'ROCK LINE'!N40</f>
        <v>0</v>
      </c>
      <c r="L27" s="761">
        <f>'ROCK LINE'!O40</f>
        <v>0</v>
      </c>
      <c r="M27" s="762">
        <f>'ROCK LINE'!P40</f>
        <v>0</v>
      </c>
      <c r="N27" s="763">
        <f>'ROCK LINE'!Q40</f>
        <v>0</v>
      </c>
      <c r="O27" s="764">
        <f>'ROCK LINE'!R40</f>
        <v>0</v>
      </c>
      <c r="P27" s="765">
        <f>'ROCK LINE'!S40</f>
        <v>0</v>
      </c>
      <c r="Q27" s="109">
        <f>'ROCK LINE'!T40</f>
        <v>0</v>
      </c>
      <c r="R27" s="766" t="s">
        <v>900</v>
      </c>
      <c r="S27" s="358">
        <f>'ROCK LINE'!U40</f>
        <v>0</v>
      </c>
      <c r="T27" s="358">
        <f>'ROCK LINE'!V40</f>
        <v>0</v>
      </c>
      <c r="U27" s="358">
        <f>'ROCK LINE'!W40</f>
        <v>0</v>
      </c>
      <c r="V27" s="767">
        <f>'ROCK LINE'!X40</f>
        <v>0</v>
      </c>
      <c r="X27" s="785" t="s">
        <v>913</v>
      </c>
    </row>
    <row r="28" spans="2:24" ht="15.75" customHeight="1" x14ac:dyDescent="0.35">
      <c r="B28" s="750"/>
      <c r="C28" s="3"/>
      <c r="D28" s="241"/>
      <c r="E28" s="241"/>
      <c r="F28" s="241"/>
      <c r="G28" s="242"/>
      <c r="H28" s="241"/>
      <c r="I28" s="241"/>
      <c r="J28" s="241"/>
      <c r="K28" s="241"/>
      <c r="L28" s="241"/>
      <c r="M28" s="241"/>
      <c r="N28" s="241"/>
      <c r="O28" s="241"/>
      <c r="P28" s="241"/>
      <c r="Q28" s="242"/>
      <c r="R28" s="241"/>
      <c r="S28" s="241"/>
      <c r="T28" s="2"/>
      <c r="U28" s="2"/>
      <c r="V28" s="477"/>
      <c r="X28" s="787" t="s">
        <v>915</v>
      </c>
    </row>
    <row r="29" spans="2:24" ht="15.75" customHeight="1" x14ac:dyDescent="0.45">
      <c r="B29" s="796" t="s">
        <v>926</v>
      </c>
      <c r="C29" s="703" t="s">
        <v>899</v>
      </c>
      <c r="D29" s="753">
        <f>SMOOTHLINE!G22</f>
        <v>0</v>
      </c>
      <c r="E29" s="754">
        <f>SMOOTHLINE!H22</f>
        <v>0</v>
      </c>
      <c r="F29" s="755">
        <f>SMOOTHLINE!I22</f>
        <v>0</v>
      </c>
      <c r="G29" s="756">
        <f>SMOOTHLINE!J22</f>
        <v>0</v>
      </c>
      <c r="H29" s="757">
        <f>SMOOTHLINE!K22</f>
        <v>0</v>
      </c>
      <c r="I29" s="758">
        <f>SMOOTHLINE!L22</f>
        <v>0</v>
      </c>
      <c r="J29" s="759">
        <f>SMOOTHLINE!M22</f>
        <v>0</v>
      </c>
      <c r="K29" s="760">
        <f>SMOOTHLINE!N22</f>
        <v>0</v>
      </c>
      <c r="L29" s="761">
        <f>SMOOTHLINE!O22</f>
        <v>0</v>
      </c>
      <c r="M29" s="762">
        <f>SMOOTHLINE!P22</f>
        <v>0</v>
      </c>
      <c r="N29" s="763">
        <f>SMOOTHLINE!Q22</f>
        <v>0</v>
      </c>
      <c r="O29" s="764">
        <f>SMOOTHLINE!R22</f>
        <v>0</v>
      </c>
      <c r="P29" s="765">
        <f>SMOOTHLINE!S22</f>
        <v>0</v>
      </c>
      <c r="Q29" s="109">
        <f>SMOOTHLINE!T22</f>
        <v>0</v>
      </c>
      <c r="R29" s="766" t="s">
        <v>900</v>
      </c>
      <c r="S29" s="358">
        <f>SMOOTHLINE!U22</f>
        <v>0</v>
      </c>
      <c r="T29" s="358">
        <f>SMOOTHLINE!V22</f>
        <v>0</v>
      </c>
      <c r="U29" s="358">
        <f>SMOOTHLINE!W22</f>
        <v>0</v>
      </c>
      <c r="V29" s="767">
        <f>SMOOTHLINE!X22</f>
        <v>0</v>
      </c>
      <c r="X29" s="792" t="s">
        <v>927</v>
      </c>
    </row>
    <row r="30" spans="2:24" ht="15.75" customHeight="1" x14ac:dyDescent="0.35">
      <c r="B30" s="750"/>
      <c r="C30" s="3"/>
      <c r="D30" s="241"/>
      <c r="E30" s="241"/>
      <c r="F30" s="241"/>
      <c r="G30" s="242"/>
      <c r="H30" s="241"/>
      <c r="I30" s="241"/>
      <c r="J30" s="241"/>
      <c r="K30" s="241"/>
      <c r="L30" s="241"/>
      <c r="M30" s="241"/>
      <c r="N30" s="241"/>
      <c r="O30" s="241"/>
      <c r="P30" s="241"/>
      <c r="Q30" s="242"/>
      <c r="R30" s="241"/>
      <c r="S30" s="241"/>
      <c r="T30" s="2"/>
      <c r="U30" s="2"/>
      <c r="V30" s="477"/>
      <c r="X30" s="19" t="s">
        <v>928</v>
      </c>
    </row>
    <row r="31" spans="2:24" ht="15.75" customHeight="1" x14ac:dyDescent="0.45">
      <c r="B31" s="796" t="s">
        <v>929</v>
      </c>
      <c r="C31" s="703" t="s">
        <v>899</v>
      </c>
      <c r="D31" s="753">
        <f>SMOOTHLINE!G64</f>
        <v>0</v>
      </c>
      <c r="E31" s="754">
        <f>SMOOTHLINE!H64</f>
        <v>0</v>
      </c>
      <c r="F31" s="755">
        <f>SMOOTHLINE!I64</f>
        <v>0</v>
      </c>
      <c r="G31" s="756">
        <f>SMOOTHLINE!J64</f>
        <v>0</v>
      </c>
      <c r="H31" s="757">
        <f>SMOOTHLINE!K64</f>
        <v>0</v>
      </c>
      <c r="I31" s="758">
        <f>SMOOTHLINE!L64</f>
        <v>0</v>
      </c>
      <c r="J31" s="759">
        <f>SMOOTHLINE!M64</f>
        <v>0</v>
      </c>
      <c r="K31" s="760">
        <f>SMOOTHLINE!N64</f>
        <v>0</v>
      </c>
      <c r="L31" s="761">
        <f>SMOOTHLINE!O64</f>
        <v>0</v>
      </c>
      <c r="M31" s="762">
        <f>SMOOTHLINE!P64</f>
        <v>0</v>
      </c>
      <c r="N31" s="763">
        <f>SMOOTHLINE!Q64</f>
        <v>0</v>
      </c>
      <c r="O31" s="764">
        <f>SMOOTHLINE!R64</f>
        <v>0</v>
      </c>
      <c r="P31" s="765">
        <f>SMOOTHLINE!S64</f>
        <v>0</v>
      </c>
      <c r="Q31" s="109">
        <f>SMOOTHLINE!T64</f>
        <v>0</v>
      </c>
      <c r="R31" s="766" t="s">
        <v>900</v>
      </c>
      <c r="S31" s="358">
        <f>SMOOTHLINE!U64</f>
        <v>0</v>
      </c>
      <c r="T31" s="358">
        <f>SMOOTHLINE!V64</f>
        <v>0</v>
      </c>
      <c r="U31" s="358">
        <f>SMOOTHLINE!W64</f>
        <v>0</v>
      </c>
      <c r="V31" s="767">
        <f>SMOOTHLINE!X64</f>
        <v>0</v>
      </c>
      <c r="X31" s="797" t="s">
        <v>930</v>
      </c>
    </row>
    <row r="32" spans="2:24" ht="15.75" customHeight="1" x14ac:dyDescent="0.45">
      <c r="B32" s="798"/>
      <c r="D32" s="241"/>
      <c r="E32" s="241"/>
      <c r="F32" s="241"/>
      <c r="G32" s="242"/>
      <c r="H32" s="241"/>
      <c r="I32" s="241"/>
      <c r="J32" s="241"/>
      <c r="K32" s="241"/>
      <c r="L32" s="241"/>
      <c r="M32" s="241"/>
      <c r="N32" s="241"/>
      <c r="O32" s="241"/>
      <c r="P32" s="241"/>
      <c r="Q32" s="242"/>
      <c r="R32" s="2"/>
      <c r="S32" s="2"/>
      <c r="T32" s="2"/>
      <c r="U32" s="2"/>
      <c r="V32" s="477"/>
    </row>
    <row r="33" spans="2:24" ht="15.75" customHeight="1" x14ac:dyDescent="0.45">
      <c r="B33" s="786" t="s">
        <v>931</v>
      </c>
      <c r="C33" s="703" t="s">
        <v>899</v>
      </c>
      <c r="D33" s="753">
        <f>'HARD BOILED DT'!G31</f>
        <v>0</v>
      </c>
      <c r="E33" s="754">
        <f>'HARD BOILED DT'!H31</f>
        <v>0</v>
      </c>
      <c r="F33" s="755">
        <f>'HARD BOILED DT'!I31</f>
        <v>0</v>
      </c>
      <c r="G33" s="756">
        <f>'HARD BOILED DT'!J31</f>
        <v>0</v>
      </c>
      <c r="H33" s="757">
        <f>'HARD BOILED DT'!K31</f>
        <v>0</v>
      </c>
      <c r="I33" s="758">
        <f>'HARD BOILED DT'!L31</f>
        <v>0</v>
      </c>
      <c r="J33" s="759">
        <f>'HARD BOILED DT'!M31</f>
        <v>0</v>
      </c>
      <c r="K33" s="760">
        <f>'HARD BOILED DT'!N31</f>
        <v>0</v>
      </c>
      <c r="L33" s="761">
        <f>'HARD BOILED DT'!O31</f>
        <v>0</v>
      </c>
      <c r="M33" s="762">
        <f>'HARD BOILED DT'!P31</f>
        <v>0</v>
      </c>
      <c r="N33" s="763">
        <f>'HARD BOILED DT'!Q31</f>
        <v>0</v>
      </c>
      <c r="O33" s="764">
        <f>'HARD BOILED DT'!R31</f>
        <v>0</v>
      </c>
      <c r="P33" s="765">
        <f>'HARD BOILED DT'!S31</f>
        <v>0</v>
      </c>
      <c r="Q33" s="109">
        <f>'HARD BOILED DT'!T31</f>
        <v>0</v>
      </c>
      <c r="R33" s="766" t="s">
        <v>900</v>
      </c>
      <c r="S33" s="358">
        <f>'HARD BOILED DT'!U31</f>
        <v>0</v>
      </c>
      <c r="T33" s="358">
        <f>'HARD BOILED DT'!V31</f>
        <v>0</v>
      </c>
      <c r="U33" s="799">
        <f>'HARD BOILED DT'!W31</f>
        <v>0</v>
      </c>
      <c r="V33" s="767">
        <f>'HARD BOILED DT'!X31</f>
        <v>0</v>
      </c>
      <c r="X33" s="703" t="s">
        <v>932</v>
      </c>
    </row>
    <row r="34" spans="2:24" ht="15.75" customHeight="1" x14ac:dyDescent="0.35">
      <c r="B34" s="750"/>
      <c r="U34" s="703"/>
      <c r="X34" s="768" t="s">
        <v>903</v>
      </c>
    </row>
    <row r="35" spans="2:24" ht="15.75" customHeight="1" x14ac:dyDescent="0.45">
      <c r="B35" s="800" t="s">
        <v>933</v>
      </c>
      <c r="C35" s="703" t="s">
        <v>920</v>
      </c>
      <c r="D35" s="801">
        <f>'DOWN JUG'!G8</f>
        <v>0</v>
      </c>
      <c r="E35" s="754">
        <f>'DOWN JUG'!H8</f>
        <v>0</v>
      </c>
      <c r="F35" s="755">
        <f>'DOWN JUG'!I8</f>
        <v>0</v>
      </c>
      <c r="G35" s="756">
        <f>'DOWN JUG'!J8</f>
        <v>0</v>
      </c>
      <c r="H35" s="757">
        <f>'DOWN JUG'!K8</f>
        <v>0</v>
      </c>
      <c r="I35" s="758">
        <f>'DOWN JUG'!L8</f>
        <v>0</v>
      </c>
      <c r="J35" s="759">
        <f>'DOWN JUG'!M8</f>
        <v>0</v>
      </c>
      <c r="K35" s="760">
        <f>'DOWN JUG'!N8</f>
        <v>0</v>
      </c>
      <c r="L35" s="761">
        <f>'DOWN JUG'!O8</f>
        <v>0</v>
      </c>
      <c r="M35" s="762">
        <f>'DOWN JUG'!P8</f>
        <v>0</v>
      </c>
      <c r="N35" s="763">
        <f>'DOWN JUG'!Q8</f>
        <v>0</v>
      </c>
      <c r="O35" s="764">
        <f>'DOWN JUG'!R8</f>
        <v>0</v>
      </c>
      <c r="P35" s="765">
        <f>'DOWN JUG'!S8</f>
        <v>0</v>
      </c>
      <c r="Q35" s="109">
        <f>'DOWN JUG'!T8</f>
        <v>0</v>
      </c>
      <c r="R35" s="766" t="s">
        <v>900</v>
      </c>
      <c r="S35" s="358">
        <f>'DOWN JUG'!U8</f>
        <v>0</v>
      </c>
      <c r="T35" s="358">
        <f>'DOWN JUG'!V8</f>
        <v>0</v>
      </c>
      <c r="U35" s="358">
        <f>'DOWN JUG'!W8</f>
        <v>0</v>
      </c>
      <c r="V35" s="767">
        <f>'DOWN JUG'!X8</f>
        <v>0</v>
      </c>
      <c r="X35" s="769" t="s">
        <v>904</v>
      </c>
    </row>
    <row r="36" spans="2:24" ht="15.75" customHeight="1" x14ac:dyDescent="0.45">
      <c r="B36" s="798"/>
      <c r="C36" s="802"/>
      <c r="D36" s="802"/>
      <c r="E36" s="802"/>
      <c r="F36" s="802"/>
      <c r="G36" s="802"/>
      <c r="H36" s="802"/>
      <c r="I36" s="802"/>
      <c r="J36" s="802"/>
      <c r="K36" s="802"/>
      <c r="L36" s="802"/>
      <c r="M36" s="802"/>
      <c r="N36" s="802"/>
      <c r="O36" s="802"/>
      <c r="P36" s="802"/>
      <c r="Q36" s="802"/>
      <c r="R36" s="803"/>
      <c r="S36" s="803"/>
      <c r="T36" s="802"/>
      <c r="U36" s="802"/>
      <c r="V36" s="802"/>
      <c r="W36" s="802"/>
      <c r="X36" s="770" t="s">
        <v>906</v>
      </c>
    </row>
    <row r="37" spans="2:24" ht="15.75" customHeight="1" x14ac:dyDescent="0.45">
      <c r="B37" s="804" t="s">
        <v>934</v>
      </c>
      <c r="C37" s="703" t="s">
        <v>935</v>
      </c>
      <c r="D37" s="96">
        <f>'FIBERGLASS MACROS'!H70</f>
        <v>0</v>
      </c>
      <c r="E37" s="754">
        <f>'FIBERGLASS MACROS'!I70</f>
        <v>0</v>
      </c>
      <c r="F37" s="755">
        <f>'FIBERGLASS MACROS'!J70</f>
        <v>0</v>
      </c>
      <c r="G37" s="756">
        <f>'FIBERGLASS MACROS'!K70</f>
        <v>0</v>
      </c>
      <c r="H37" s="302" t="s">
        <v>900</v>
      </c>
      <c r="I37" s="101" t="s">
        <v>900</v>
      </c>
      <c r="J37" s="102" t="s">
        <v>900</v>
      </c>
      <c r="K37" s="760">
        <f>'FIBERGLASS MACROS'!L70</f>
        <v>0</v>
      </c>
      <c r="L37" s="761">
        <f>'FIBERGLASS MACROS'!M70</f>
        <v>0</v>
      </c>
      <c r="M37" s="105" t="s">
        <v>900</v>
      </c>
      <c r="N37" s="106" t="s">
        <v>900</v>
      </c>
      <c r="O37" s="764">
        <f>'FIBERGLASS MACROS'!O70</f>
        <v>0</v>
      </c>
      <c r="P37" s="765">
        <f>'FIBERGLASS MACROS'!P70</f>
        <v>0</v>
      </c>
      <c r="Q37" s="805">
        <f>'FIBERGLASS MACROS'!N70</f>
        <v>0</v>
      </c>
      <c r="R37" s="766" t="s">
        <v>900</v>
      </c>
      <c r="S37" s="108" t="s">
        <v>900</v>
      </c>
      <c r="T37" s="358">
        <f>'FIBERGLASS MACROS'!Q70</f>
        <v>0</v>
      </c>
      <c r="U37" s="358">
        <f>'FIBERGLASS MACROS'!R70</f>
        <v>0</v>
      </c>
      <c r="V37" s="767">
        <f>'FIBERGLASS MACROS'!S70</f>
        <v>0</v>
      </c>
      <c r="X37" s="771" t="s">
        <v>907</v>
      </c>
    </row>
    <row r="38" spans="2:24" ht="15.75" customHeight="1" x14ac:dyDescent="0.45">
      <c r="B38" s="798"/>
      <c r="C38" s="3"/>
      <c r="D38" s="241"/>
      <c r="E38" s="241"/>
      <c r="F38" s="241"/>
      <c r="G38" s="242"/>
      <c r="H38" s="241"/>
      <c r="I38" s="241"/>
      <c r="J38" s="241"/>
      <c r="K38" s="241"/>
      <c r="L38" s="241"/>
      <c r="M38" s="241"/>
      <c r="N38" s="241"/>
      <c r="O38" s="241"/>
      <c r="P38" s="241"/>
      <c r="Q38" s="242"/>
      <c r="R38" s="806"/>
      <c r="S38" s="806"/>
      <c r="T38" s="2"/>
      <c r="U38" s="2"/>
      <c r="V38" s="477"/>
      <c r="X38" s="773" t="s">
        <v>909</v>
      </c>
    </row>
    <row r="39" spans="2:24" ht="15.75" customHeight="1" x14ac:dyDescent="0.45">
      <c r="B39" s="807" t="s">
        <v>936</v>
      </c>
      <c r="C39" s="703" t="s">
        <v>937</v>
      </c>
      <c r="D39" s="96">
        <f>'THERMO PLASTIC MACROS DUAL '!H75</f>
        <v>0</v>
      </c>
      <c r="E39" s="754">
        <f>'THERMO PLASTIC MACROS DUAL '!I75</f>
        <v>0</v>
      </c>
      <c r="F39" s="755">
        <f>'THERMO PLASTIC MACROS DUAL '!J75</f>
        <v>0</v>
      </c>
      <c r="G39" s="756">
        <f>'THERMO PLASTIC MACROS DUAL '!K75</f>
        <v>0</v>
      </c>
      <c r="H39" s="302">
        <f>'THERMO PLASTIC MACROS DUAL '!N75</f>
        <v>0</v>
      </c>
      <c r="I39" s="101">
        <f>'THERMO PLASTIC MACROS DUAL '!O75</f>
        <v>0</v>
      </c>
      <c r="J39" s="102">
        <f>'THERMO PLASTIC MACROS DUAL '!P75</f>
        <v>0</v>
      </c>
      <c r="K39" s="760">
        <f>'THERMO PLASTIC MACROS DUAL '!Q75</f>
        <v>0</v>
      </c>
      <c r="L39" s="761" t="s">
        <v>900</v>
      </c>
      <c r="M39" s="105" t="s">
        <v>900</v>
      </c>
      <c r="N39" s="106" t="s">
        <v>900</v>
      </c>
      <c r="O39" s="107">
        <f>'FIBERGLASS MACROS'!O70</f>
        <v>0</v>
      </c>
      <c r="P39" s="765">
        <f>'THERMO PLASTIC MACROS DUAL '!L75</f>
        <v>0</v>
      </c>
      <c r="Q39" s="109">
        <f>'THERMO PLASTIC MACROS DUAL '!R75</f>
        <v>0</v>
      </c>
      <c r="R39" s="766" t="s">
        <v>900</v>
      </c>
      <c r="S39" s="108" t="s">
        <v>900</v>
      </c>
      <c r="T39" s="108">
        <f>'THERMO PLASTIC MACROS DUAL '!T75</f>
        <v>0</v>
      </c>
      <c r="U39" s="108">
        <v>0</v>
      </c>
      <c r="V39" s="767">
        <f>'THERMO PLASTIC MACROS DUAL '!V75</f>
        <v>0</v>
      </c>
      <c r="X39" s="775" t="s">
        <v>938</v>
      </c>
    </row>
    <row r="40" spans="2:24" ht="15.75" customHeight="1" x14ac:dyDescent="0.35">
      <c r="B40" s="750"/>
      <c r="C40" s="3"/>
      <c r="D40" s="241"/>
      <c r="E40" s="241"/>
      <c r="F40" s="241"/>
      <c r="G40" s="242"/>
      <c r="H40" s="241"/>
      <c r="I40" s="241"/>
      <c r="J40" s="241"/>
      <c r="K40" s="241"/>
      <c r="L40" s="241"/>
      <c r="M40" s="241"/>
      <c r="N40" s="241"/>
      <c r="O40" s="241"/>
      <c r="P40" s="241"/>
      <c r="Q40" s="242"/>
      <c r="R40" s="806"/>
      <c r="S40" s="806"/>
      <c r="T40" s="2"/>
      <c r="U40" s="2"/>
      <c r="V40" s="477"/>
      <c r="X40" s="780" t="s">
        <v>939</v>
      </c>
    </row>
    <row r="41" spans="2:24" ht="15.75" customHeight="1" x14ac:dyDescent="0.45">
      <c r="B41" s="807" t="s">
        <v>940</v>
      </c>
      <c r="C41" s="703" t="s">
        <v>937</v>
      </c>
      <c r="D41" s="96">
        <f>'THERMO PLASTIC MACROS FT'!H75</f>
        <v>0</v>
      </c>
      <c r="E41" s="754">
        <f>'THERMO PLASTIC MACROS FT'!I75</f>
        <v>0</v>
      </c>
      <c r="F41" s="755">
        <f>'THERMO PLASTIC MACROS FT'!J75</f>
        <v>0</v>
      </c>
      <c r="G41" s="756">
        <f>'THERMO PLASTIC MACROS FT'!K75</f>
        <v>0</v>
      </c>
      <c r="H41" s="302">
        <f>'THERMO PLASTIC MACROS FT'!N75</f>
        <v>0</v>
      </c>
      <c r="I41" s="101">
        <f>'THERMO PLASTIC MACROS FT'!O75</f>
        <v>0</v>
      </c>
      <c r="J41" s="102">
        <f>'THERMO PLASTIC MACROS FT'!P75</f>
        <v>0</v>
      </c>
      <c r="K41" s="103">
        <f>'THERMO PLASTIC MACROS FT'!Q75</f>
        <v>0</v>
      </c>
      <c r="L41" s="778" t="s">
        <v>900</v>
      </c>
      <c r="M41" s="105" t="s">
        <v>900</v>
      </c>
      <c r="N41" s="106" t="s">
        <v>900</v>
      </c>
      <c r="O41" s="808">
        <f>'THERMO PLASTIC MACROS FT'!S75</f>
        <v>0</v>
      </c>
      <c r="P41" s="108">
        <f>'THERMO PLASTIC MACROS FT'!L75</f>
        <v>0</v>
      </c>
      <c r="Q41" s="109">
        <f>'THERMO PLASTIC MACROS FT'!R75</f>
        <v>0</v>
      </c>
      <c r="R41" s="766" t="s">
        <v>900</v>
      </c>
      <c r="S41" s="108" t="s">
        <v>900</v>
      </c>
      <c r="T41" s="108">
        <f>'THERMO PLASTIC MACROS FT'!T75</f>
        <v>0</v>
      </c>
      <c r="U41" s="108">
        <v>0</v>
      </c>
      <c r="V41" s="809">
        <f>'THERMO PLASTIC MACROS FT'!V75</f>
        <v>0</v>
      </c>
      <c r="X41" s="785" t="s">
        <v>913</v>
      </c>
    </row>
    <row r="42" spans="2:24" ht="15.75" customHeight="1" x14ac:dyDescent="0.45">
      <c r="B42" s="781"/>
      <c r="C42" s="703"/>
      <c r="D42" s="810"/>
      <c r="E42" s="810"/>
      <c r="F42" s="810"/>
      <c r="G42" s="811"/>
      <c r="H42" s="810"/>
      <c r="I42" s="810"/>
      <c r="J42" s="810"/>
      <c r="K42" s="810"/>
      <c r="L42" s="810"/>
      <c r="M42" s="810"/>
      <c r="N42" s="810"/>
      <c r="O42" s="812"/>
      <c r="P42" s="810"/>
      <c r="Q42" s="811"/>
      <c r="R42" s="813"/>
      <c r="S42" s="813"/>
      <c r="T42" s="813"/>
      <c r="U42" s="813"/>
      <c r="V42" s="814"/>
      <c r="X42" s="792" t="s">
        <v>927</v>
      </c>
    </row>
    <row r="43" spans="2:24" ht="15.75" customHeight="1" x14ac:dyDescent="0.45">
      <c r="B43" s="807" t="s">
        <v>941</v>
      </c>
      <c r="C43" s="703" t="s">
        <v>937</v>
      </c>
      <c r="D43" s="815">
        <f>'THERMO PLASTIC MACROS DUAL '!H27</f>
        <v>0</v>
      </c>
      <c r="E43" s="816">
        <f>'THERMO PLASTIC MACROS DUAL '!I27</f>
        <v>0</v>
      </c>
      <c r="F43" s="817">
        <f>'THERMO PLASTIC MACROS DUAL '!J27</f>
        <v>0</v>
      </c>
      <c r="G43" s="818">
        <f>'THERMO PLASTIC MACROS DUAL '!K27</f>
        <v>0</v>
      </c>
      <c r="H43" s="302" t="s">
        <v>900</v>
      </c>
      <c r="I43" s="819">
        <f>'THERMO PLASTIC MACROS DUAL '!M27</f>
        <v>0</v>
      </c>
      <c r="J43" s="102" t="s">
        <v>900</v>
      </c>
      <c r="K43" s="820">
        <f>'THERMO PLASTIC MACROS DUAL '!O27</f>
        <v>0</v>
      </c>
      <c r="L43" s="761" t="s">
        <v>900</v>
      </c>
      <c r="M43" s="105" t="s">
        <v>900</v>
      </c>
      <c r="N43" s="106" t="s">
        <v>900</v>
      </c>
      <c r="O43" s="808">
        <f>'THERMO PLASTIC MACROS DUAL '!N27</f>
        <v>0</v>
      </c>
      <c r="P43" s="821">
        <f>'THERMO PLASTIC MACROS DUAL '!L27</f>
        <v>0</v>
      </c>
      <c r="Q43" s="822">
        <f>'THERMO PLASTIC MACROS DUAL '!P27</f>
        <v>0</v>
      </c>
      <c r="R43" s="823">
        <f>'THERMO PLASTIC MACROS DUAL '!Q27</f>
        <v>0</v>
      </c>
      <c r="S43" s="108" t="s">
        <v>900</v>
      </c>
      <c r="T43" s="108">
        <f>'THERMO PLASTIC MACROS DUAL '!R27</f>
        <v>0</v>
      </c>
      <c r="U43" s="108">
        <v>0</v>
      </c>
      <c r="V43" s="767">
        <f>'THERMO PLASTIC MACROS DUAL '!S27</f>
        <v>0</v>
      </c>
      <c r="X43" s="19" t="s">
        <v>942</v>
      </c>
    </row>
    <row r="44" spans="2:24" ht="15.75" customHeight="1" x14ac:dyDescent="0.35">
      <c r="B44" s="750"/>
      <c r="C44" s="3"/>
      <c r="D44" s="241"/>
      <c r="E44" s="241"/>
      <c r="F44" s="241"/>
      <c r="G44" s="242"/>
      <c r="H44" s="241"/>
      <c r="I44" s="241"/>
      <c r="J44" s="241"/>
      <c r="K44" s="241"/>
      <c r="L44" s="241"/>
      <c r="M44" s="241"/>
      <c r="N44" s="241"/>
      <c r="O44" s="824"/>
      <c r="P44" s="241"/>
      <c r="Q44" s="242"/>
      <c r="R44" s="806"/>
      <c r="S44" s="806"/>
      <c r="T44" s="2"/>
      <c r="U44" s="2"/>
      <c r="V44" s="477"/>
      <c r="X44" s="797" t="s">
        <v>930</v>
      </c>
    </row>
    <row r="45" spans="2:24" ht="15.75" customHeight="1" thickBot="1" x14ac:dyDescent="0.5">
      <c r="B45" s="807" t="s">
        <v>943</v>
      </c>
      <c r="C45" s="703" t="s">
        <v>937</v>
      </c>
      <c r="D45" s="96">
        <f>'THERMO PLASTIC MACROS FT'!H25</f>
        <v>0</v>
      </c>
      <c r="E45" s="754">
        <f>'THERMO PLASTIC MACROS FT'!I25</f>
        <v>0</v>
      </c>
      <c r="F45" s="755">
        <f>'THERMO PLASTIC MACROS FT'!J25</f>
        <v>0</v>
      </c>
      <c r="G45" s="756">
        <f>'THERMO PLASTIC MACROS FT'!K25</f>
        <v>0</v>
      </c>
      <c r="H45" s="302" t="s">
        <v>900</v>
      </c>
      <c r="I45" s="101">
        <f>'THERMO PLASTIC MACROS FT'!M25</f>
        <v>0</v>
      </c>
      <c r="J45" s="102" t="s">
        <v>900</v>
      </c>
      <c r="K45" s="103">
        <f>'THERMO PLASTIC MACROS FT'!O25</f>
        <v>0</v>
      </c>
      <c r="L45" s="778" t="s">
        <v>900</v>
      </c>
      <c r="M45" s="105" t="s">
        <v>900</v>
      </c>
      <c r="N45" s="106" t="s">
        <v>900</v>
      </c>
      <c r="O45" s="808">
        <f>'THERMO PLASTIC MACROS FT'!N25</f>
        <v>0</v>
      </c>
      <c r="P45" s="108">
        <f>'THERMO PLASTIC MACROS FT'!L25</f>
        <v>0</v>
      </c>
      <c r="Q45" s="109">
        <f>'THERMO PLASTIC MACROS FT'!P25</f>
        <v>0</v>
      </c>
      <c r="R45" s="766">
        <f>'THERMO PLASTIC MACROS FT'!Q25</f>
        <v>0</v>
      </c>
      <c r="S45" s="108" t="s">
        <v>900</v>
      </c>
      <c r="T45" s="108">
        <f>'THERMO PLASTIC MACROS FT'!R25</f>
        <v>0</v>
      </c>
      <c r="U45" s="108">
        <v>0</v>
      </c>
      <c r="V45" s="809">
        <f>'THERMO PLASTIC MACROS FT'!S25</f>
        <v>0</v>
      </c>
    </row>
    <row r="46" spans="2:24" ht="15.75" customHeight="1" thickBot="1" x14ac:dyDescent="0.5">
      <c r="B46" s="1133"/>
      <c r="C46" s="703"/>
      <c r="D46" s="1134"/>
      <c r="E46" s="1134"/>
      <c r="F46" s="1134"/>
      <c r="G46" s="1135"/>
      <c r="H46" s="1134"/>
      <c r="I46" s="1134"/>
      <c r="J46" s="1134"/>
      <c r="K46" s="1134"/>
      <c r="L46" s="1134"/>
      <c r="M46" s="1134"/>
      <c r="N46" s="1134"/>
      <c r="O46" s="1136"/>
      <c r="P46" s="1134"/>
      <c r="Q46" s="1135"/>
      <c r="R46" s="1134"/>
      <c r="S46" s="1134"/>
      <c r="T46" s="1134"/>
      <c r="U46" s="1134"/>
      <c r="V46" s="1137"/>
      <c r="X46" s="703" t="s">
        <v>944</v>
      </c>
    </row>
    <row r="47" spans="2:24" ht="15.75" customHeight="1" thickBot="1" x14ac:dyDescent="0.5">
      <c r="B47" s="1140" t="s">
        <v>1030</v>
      </c>
      <c r="C47" s="1139" t="s">
        <v>1029</v>
      </c>
      <c r="D47" s="1146">
        <f>'WOOD VOLUME'!I10</f>
        <v>0</v>
      </c>
      <c r="E47" s="1147">
        <f>'WOOD VOLUME'!J10</f>
        <v>0</v>
      </c>
      <c r="F47" s="1148">
        <f>'WOOD VOLUME'!K10</f>
        <v>0</v>
      </c>
      <c r="G47" s="1149">
        <f>'WOOD VOLUME'!L10</f>
        <v>0</v>
      </c>
      <c r="H47" s="1150">
        <f>'WOOD VOLUME'!M10</f>
        <v>0</v>
      </c>
      <c r="I47" s="1151">
        <f>'WOOD VOLUME'!N10</f>
        <v>0</v>
      </c>
      <c r="J47" s="1152">
        <f>'WOOD VOLUME'!O10</f>
        <v>0</v>
      </c>
      <c r="K47" s="1153">
        <f>'WOOD VOLUME'!P10</f>
        <v>0</v>
      </c>
      <c r="L47" s="1175" t="s">
        <v>900</v>
      </c>
      <c r="M47" s="1176"/>
      <c r="N47" s="1176"/>
      <c r="O47" s="1176"/>
      <c r="P47" s="1176"/>
      <c r="Q47" s="1176"/>
      <c r="R47" s="1174"/>
      <c r="S47" s="914">
        <f>'WOOD VOLUME'!Q10</f>
        <v>0</v>
      </c>
      <c r="T47" s="914">
        <f>'WOOD VOLUME'!R10</f>
        <v>0</v>
      </c>
      <c r="U47" s="914">
        <v>0</v>
      </c>
      <c r="V47" s="1138">
        <f>'WOOD VOLUME'!T10</f>
        <v>0</v>
      </c>
      <c r="X47" s="768" t="s">
        <v>925</v>
      </c>
    </row>
    <row r="48" spans="2:24" ht="15.75" customHeight="1" thickBot="1" x14ac:dyDescent="0.5">
      <c r="B48" s="1133"/>
      <c r="C48" s="703"/>
      <c r="D48" s="1134"/>
      <c r="E48" s="1134"/>
      <c r="F48" s="1134"/>
      <c r="G48" s="1135"/>
      <c r="H48" s="1134"/>
      <c r="I48" s="1134"/>
      <c r="J48" s="1134"/>
      <c r="K48" s="1134"/>
      <c r="L48" s="1134"/>
      <c r="M48" s="1134"/>
      <c r="N48" s="1134"/>
      <c r="O48" s="1136"/>
      <c r="P48" s="1134"/>
      <c r="Q48" s="1135"/>
      <c r="R48" s="1134"/>
      <c r="S48" s="1134"/>
      <c r="T48" s="1134"/>
      <c r="U48" s="1134"/>
      <c r="V48" s="1137"/>
      <c r="X48" s="769" t="s">
        <v>904</v>
      </c>
    </row>
    <row r="49" spans="2:24" ht="15.75" customHeight="1" thickBot="1" x14ac:dyDescent="0.5">
      <c r="B49" s="1140" t="s">
        <v>1031</v>
      </c>
      <c r="C49" s="1139" t="s">
        <v>1029</v>
      </c>
      <c r="D49" s="1146">
        <f>'WOOD VOLUME'!I21</f>
        <v>0</v>
      </c>
      <c r="E49" s="1147">
        <f>'WOOD VOLUME'!J21</f>
        <v>0</v>
      </c>
      <c r="F49" s="1148">
        <f>'WOOD VOLUME'!K21</f>
        <v>0</v>
      </c>
      <c r="G49" s="1149">
        <f>'WOOD VOLUME'!L21</f>
        <v>0</v>
      </c>
      <c r="H49" s="1150">
        <f>'WOOD VOLUME'!M21</f>
        <v>0</v>
      </c>
      <c r="I49" s="1151">
        <f>'WOOD VOLUME'!N21</f>
        <v>0</v>
      </c>
      <c r="J49" s="1152">
        <f>'WOOD VOLUME'!O21</f>
        <v>0</v>
      </c>
      <c r="K49" s="1153">
        <f>'WOOD VOLUME'!P21</f>
        <v>0</v>
      </c>
      <c r="L49" s="1175" t="s">
        <v>900</v>
      </c>
      <c r="M49" s="1176"/>
      <c r="N49" s="1176"/>
      <c r="O49" s="1176"/>
      <c r="P49" s="1176"/>
      <c r="Q49" s="1176"/>
      <c r="R49" s="1174"/>
      <c r="S49" s="914">
        <f>'WOOD VOLUME'!Q21</f>
        <v>0</v>
      </c>
      <c r="T49" s="914">
        <f>'WOOD VOLUME'!R21</f>
        <v>0</v>
      </c>
      <c r="U49" s="914">
        <v>0</v>
      </c>
      <c r="V49" s="1138">
        <f>'WOOD VOLUME'!T21</f>
        <v>0</v>
      </c>
      <c r="X49" s="770" t="s">
        <v>906</v>
      </c>
    </row>
    <row r="50" spans="2:24" ht="15.75" customHeight="1" thickBot="1" x14ac:dyDescent="0.4">
      <c r="B50" s="750"/>
      <c r="C50" s="825"/>
      <c r="D50" s="813"/>
      <c r="E50" s="813"/>
      <c r="F50" s="813"/>
      <c r="G50" s="826"/>
      <c r="H50" s="813"/>
      <c r="I50" s="813"/>
      <c r="J50" s="813"/>
      <c r="K50" s="813"/>
      <c r="L50" s="813"/>
      <c r="M50" s="813"/>
      <c r="N50" s="813"/>
      <c r="O50" s="813"/>
      <c r="P50" s="813"/>
      <c r="Q50" s="826"/>
      <c r="R50" s="813"/>
      <c r="S50" s="806"/>
      <c r="T50" s="2"/>
      <c r="U50" s="2"/>
      <c r="V50" s="477"/>
      <c r="X50" s="771" t="s">
        <v>907</v>
      </c>
    </row>
    <row r="51" spans="2:24" ht="19.5" customHeight="1" thickTop="1" thickBot="1" x14ac:dyDescent="0.5">
      <c r="B51" s="827" t="s">
        <v>945</v>
      </c>
      <c r="C51" s="781"/>
      <c r="D51" s="828">
        <f>SUM(D5:D17,D23:D33)</f>
        <v>0</v>
      </c>
      <c r="E51" s="97">
        <f t="shared" ref="E51:Q51" si="0">SUM(E5:E17,E23:E33)</f>
        <v>0</v>
      </c>
      <c r="F51" s="829">
        <f t="shared" si="0"/>
        <v>0</v>
      </c>
      <c r="G51" s="99">
        <f t="shared" si="0"/>
        <v>0</v>
      </c>
      <c r="H51" s="302">
        <f t="shared" si="0"/>
        <v>0</v>
      </c>
      <c r="I51" s="101">
        <f t="shared" si="0"/>
        <v>0</v>
      </c>
      <c r="J51" s="102">
        <f t="shared" si="0"/>
        <v>0</v>
      </c>
      <c r="K51" s="103">
        <f t="shared" si="0"/>
        <v>0</v>
      </c>
      <c r="L51" s="778">
        <f t="shared" si="0"/>
        <v>0</v>
      </c>
      <c r="M51" s="105">
        <f t="shared" si="0"/>
        <v>0</v>
      </c>
      <c r="N51" s="303">
        <f t="shared" si="0"/>
        <v>0</v>
      </c>
      <c r="O51" s="107">
        <f t="shared" si="0"/>
        <v>0</v>
      </c>
      <c r="P51" s="108">
        <f t="shared" si="0"/>
        <v>0</v>
      </c>
      <c r="Q51" s="109">
        <f t="shared" si="0"/>
        <v>0</v>
      </c>
      <c r="R51" s="766" t="s">
        <v>900</v>
      </c>
      <c r="S51" s="358">
        <f t="shared" ref="S51:V51" si="1">SUM(S5:S17,S23:S33)</f>
        <v>0</v>
      </c>
      <c r="T51" s="358">
        <f t="shared" si="1"/>
        <v>0</v>
      </c>
      <c r="U51" s="358">
        <f t="shared" si="1"/>
        <v>0</v>
      </c>
      <c r="V51" s="767">
        <f t="shared" si="1"/>
        <v>0</v>
      </c>
      <c r="X51" s="775" t="s">
        <v>938</v>
      </c>
    </row>
    <row r="52" spans="2:24" ht="15.75" customHeight="1" thickTop="1" thickBot="1" x14ac:dyDescent="0.4">
      <c r="B52" s="750"/>
      <c r="C52" s="825"/>
      <c r="D52" s="813"/>
      <c r="E52" s="813"/>
      <c r="F52" s="813"/>
      <c r="G52" s="826"/>
      <c r="H52" s="813"/>
      <c r="I52" s="813"/>
      <c r="J52" s="813"/>
      <c r="K52" s="813"/>
      <c r="L52" s="813"/>
      <c r="M52" s="813"/>
      <c r="N52" s="813"/>
      <c r="O52" s="813"/>
      <c r="P52" s="813"/>
      <c r="Q52" s="826"/>
      <c r="R52" s="813"/>
      <c r="S52" s="806"/>
      <c r="T52" s="2"/>
      <c r="U52" s="2"/>
      <c r="V52" s="477"/>
      <c r="X52" s="785" t="s">
        <v>913</v>
      </c>
    </row>
    <row r="53" spans="2:24" ht="19.5" customHeight="1" thickTop="1" thickBot="1" x14ac:dyDescent="0.5">
      <c r="B53" s="827" t="s">
        <v>946</v>
      </c>
      <c r="C53" s="825"/>
      <c r="D53" s="828">
        <f t="shared" ref="D53:Q53" si="2">SUM(D19:D21,D35)</f>
        <v>0</v>
      </c>
      <c r="E53" s="830">
        <f t="shared" si="2"/>
        <v>0</v>
      </c>
      <c r="F53" s="831">
        <f t="shared" si="2"/>
        <v>0</v>
      </c>
      <c r="G53" s="832">
        <f t="shared" si="2"/>
        <v>0</v>
      </c>
      <c r="H53" s="833">
        <f t="shared" si="2"/>
        <v>0</v>
      </c>
      <c r="I53" s="834">
        <f t="shared" si="2"/>
        <v>0</v>
      </c>
      <c r="J53" s="835">
        <f t="shared" si="2"/>
        <v>0</v>
      </c>
      <c r="K53" s="836">
        <f t="shared" si="2"/>
        <v>0</v>
      </c>
      <c r="L53" s="837">
        <f t="shared" si="2"/>
        <v>0</v>
      </c>
      <c r="M53" s="838">
        <f t="shared" si="2"/>
        <v>0</v>
      </c>
      <c r="N53" s="839">
        <f t="shared" si="2"/>
        <v>0</v>
      </c>
      <c r="O53" s="840">
        <f t="shared" si="2"/>
        <v>0</v>
      </c>
      <c r="P53" s="841">
        <f t="shared" si="2"/>
        <v>0</v>
      </c>
      <c r="Q53" s="842">
        <f t="shared" si="2"/>
        <v>0</v>
      </c>
      <c r="R53" s="843" t="s">
        <v>900</v>
      </c>
      <c r="S53" s="358">
        <f t="shared" ref="S53:V53" si="3">SUM(S37,S19:S21)</f>
        <v>0</v>
      </c>
      <c r="T53" s="358">
        <f t="shared" si="3"/>
        <v>0</v>
      </c>
      <c r="U53" s="358">
        <f t="shared" si="3"/>
        <v>0</v>
      </c>
      <c r="V53" s="767">
        <f t="shared" si="3"/>
        <v>0</v>
      </c>
      <c r="X53" s="792" t="s">
        <v>949</v>
      </c>
    </row>
    <row r="54" spans="2:24" ht="15.75" customHeight="1" thickTop="1" thickBot="1" x14ac:dyDescent="0.5">
      <c r="B54" s="781"/>
      <c r="C54" s="825"/>
      <c r="D54" s="813"/>
      <c r="E54" s="813"/>
      <c r="F54" s="813"/>
      <c r="G54" s="844"/>
      <c r="H54" s="813"/>
      <c r="I54" s="813"/>
      <c r="J54" s="813"/>
      <c r="K54" s="813"/>
      <c r="L54" s="813"/>
      <c r="M54" s="813"/>
      <c r="N54" s="813"/>
      <c r="O54" s="813"/>
      <c r="P54" s="813"/>
      <c r="Q54" s="826"/>
      <c r="R54" s="813"/>
      <c r="S54" s="813"/>
      <c r="T54" s="2"/>
      <c r="U54" s="2"/>
      <c r="V54" s="477"/>
      <c r="X54" s="19" t="s">
        <v>942</v>
      </c>
    </row>
    <row r="55" spans="2:24" ht="18.75" customHeight="1" thickTop="1" thickBot="1" x14ac:dyDescent="0.5">
      <c r="B55" s="827" t="s">
        <v>947</v>
      </c>
      <c r="C55" s="825"/>
      <c r="D55" s="828">
        <f t="shared" ref="D55:Q55" si="4">D37</f>
        <v>0</v>
      </c>
      <c r="E55" s="97">
        <f t="shared" si="4"/>
        <v>0</v>
      </c>
      <c r="F55" s="137">
        <f t="shared" si="4"/>
        <v>0</v>
      </c>
      <c r="G55" s="845">
        <f t="shared" si="4"/>
        <v>0</v>
      </c>
      <c r="H55" s="302" t="str">
        <f t="shared" si="4"/>
        <v>XX</v>
      </c>
      <c r="I55" s="101" t="str">
        <f t="shared" si="4"/>
        <v>XX</v>
      </c>
      <c r="J55" s="102" t="str">
        <f t="shared" si="4"/>
        <v>XX</v>
      </c>
      <c r="K55" s="103">
        <f t="shared" si="4"/>
        <v>0</v>
      </c>
      <c r="L55" s="778">
        <f t="shared" si="4"/>
        <v>0</v>
      </c>
      <c r="M55" s="105" t="str">
        <f t="shared" si="4"/>
        <v>XX</v>
      </c>
      <c r="N55" s="106" t="str">
        <f t="shared" si="4"/>
        <v>XX</v>
      </c>
      <c r="O55" s="304">
        <f t="shared" si="4"/>
        <v>0</v>
      </c>
      <c r="P55" s="305">
        <f t="shared" si="4"/>
        <v>0</v>
      </c>
      <c r="Q55" s="846">
        <f t="shared" si="4"/>
        <v>0</v>
      </c>
      <c r="R55" s="766" t="s">
        <v>900</v>
      </c>
      <c r="S55" s="358" t="str">
        <f t="shared" ref="S55:V55" si="5">S37</f>
        <v>XX</v>
      </c>
      <c r="T55" s="358">
        <f t="shared" si="5"/>
        <v>0</v>
      </c>
      <c r="U55" s="358">
        <f t="shared" si="5"/>
        <v>0</v>
      </c>
      <c r="V55" s="767">
        <f t="shared" si="5"/>
        <v>0</v>
      </c>
      <c r="X55" s="797" t="s">
        <v>930</v>
      </c>
    </row>
    <row r="56" spans="2:24" ht="19.5" thickTop="1" thickBot="1" x14ac:dyDescent="0.5">
      <c r="B56" s="847"/>
      <c r="G56" s="791"/>
      <c r="X56" s="850" t="s">
        <v>955</v>
      </c>
    </row>
    <row r="57" spans="2:24" ht="19.5" thickTop="1" thickBot="1" x14ac:dyDescent="0.5">
      <c r="B57" s="827" t="s">
        <v>948</v>
      </c>
      <c r="D57" s="828">
        <f>SUM(D39:D45)</f>
        <v>0</v>
      </c>
      <c r="E57" s="830">
        <f>SUM(E39:E45)</f>
        <v>0</v>
      </c>
      <c r="F57" s="831">
        <f>SUM(F39:F41)</f>
        <v>0</v>
      </c>
      <c r="G57" s="832">
        <f>SUM(G39:G41)</f>
        <v>0</v>
      </c>
      <c r="H57" s="833">
        <f>SUM(H39:H41)</f>
        <v>0</v>
      </c>
      <c r="I57" s="834">
        <f>SUM(I39:I41)</f>
        <v>0</v>
      </c>
      <c r="J57" s="835">
        <f>SUM(J39:J41)</f>
        <v>0</v>
      </c>
      <c r="K57" s="836">
        <f>SUM(K39:K41)</f>
        <v>0</v>
      </c>
      <c r="L57" s="837">
        <f>SUM(L39:L41)</f>
        <v>0</v>
      </c>
      <c r="M57" s="838">
        <f>SUM(M39:M41)</f>
        <v>0</v>
      </c>
      <c r="N57" s="839">
        <f>SUM(N39:N41)</f>
        <v>0</v>
      </c>
      <c r="O57" s="840">
        <f>SUM(O39:O41)</f>
        <v>0</v>
      </c>
      <c r="P57" s="841">
        <f>SUM(P39:P41)</f>
        <v>0</v>
      </c>
      <c r="Q57" s="842">
        <f>SUM(Q39:Q41)</f>
        <v>0</v>
      </c>
      <c r="R57" s="848">
        <f>SUM(R43:R45)</f>
        <v>0</v>
      </c>
      <c r="S57" s="358" t="s">
        <v>900</v>
      </c>
      <c r="T57" s="358">
        <f>SUM(T39:T45)</f>
        <v>0</v>
      </c>
      <c r="U57" s="358">
        <f>SUM(U39:U45)</f>
        <v>0</v>
      </c>
      <c r="V57" s="767">
        <f>SUM(V39:V45)</f>
        <v>0</v>
      </c>
      <c r="X57" s="1141"/>
    </row>
    <row r="58" spans="2:24" ht="19.5" thickTop="1" thickBot="1" x14ac:dyDescent="0.5">
      <c r="B58" s="847"/>
      <c r="G58" s="791"/>
      <c r="X58" s="1180" t="s">
        <v>1036</v>
      </c>
    </row>
    <row r="59" spans="2:24" ht="19.5" customHeight="1" thickBot="1" x14ac:dyDescent="0.5">
      <c r="B59" s="1140" t="s">
        <v>948</v>
      </c>
      <c r="D59" s="1146">
        <f>SUM(D47:D49)</f>
        <v>0</v>
      </c>
      <c r="E59" s="1147">
        <f>SUM(E47:E49)</f>
        <v>0</v>
      </c>
      <c r="F59" s="1148">
        <f>SUM(F47:F49)</f>
        <v>0</v>
      </c>
      <c r="G59" s="1149">
        <f>SUM(G47:G49)</f>
        <v>0</v>
      </c>
      <c r="H59" s="1150">
        <f>SUM(H47:H49)</f>
        <v>0</v>
      </c>
      <c r="I59" s="1151">
        <f>SUM(I47:I49)</f>
        <v>0</v>
      </c>
      <c r="J59" s="1152">
        <f>SUM(J47:J49)</f>
        <v>0</v>
      </c>
      <c r="K59" s="1153">
        <f>SUM(K47:K49)</f>
        <v>0</v>
      </c>
      <c r="L59" s="1177" t="s">
        <v>900</v>
      </c>
      <c r="M59" s="1178"/>
      <c r="N59" s="1178"/>
      <c r="O59" s="1178"/>
      <c r="P59" s="1178"/>
      <c r="Q59" s="1178"/>
      <c r="R59" s="1179"/>
      <c r="S59" s="358" t="s">
        <v>900</v>
      </c>
      <c r="T59" s="358">
        <f>SUM(T47:T49)</f>
        <v>0</v>
      </c>
      <c r="U59" s="358">
        <f>SUM(U47:U49)</f>
        <v>0</v>
      </c>
      <c r="V59" s="767">
        <f>SUM(V47:V49)</f>
        <v>0</v>
      </c>
      <c r="X59" s="1197" t="s">
        <v>1032</v>
      </c>
    </row>
    <row r="60" spans="2:24" ht="15.75" customHeight="1" thickBot="1" x14ac:dyDescent="0.4">
      <c r="G60" s="479"/>
      <c r="V60" s="1"/>
      <c r="X60" s="1198" t="s">
        <v>2</v>
      </c>
    </row>
    <row r="61" spans="2:24" ht="15.75" customHeight="1" thickBot="1" x14ac:dyDescent="0.4">
      <c r="B61" s="1114" t="s">
        <v>950</v>
      </c>
      <c r="D61" s="1099" t="s">
        <v>951</v>
      </c>
      <c r="E61" s="1090"/>
      <c r="F61" s="1098"/>
      <c r="G61" s="1097"/>
      <c r="H61" s="1090"/>
      <c r="I61" s="1090"/>
      <c r="J61" s="1090"/>
      <c r="K61" s="1090"/>
      <c r="L61" s="1090"/>
      <c r="M61" s="1090"/>
      <c r="N61" s="1098"/>
      <c r="P61" s="1115" t="s">
        <v>952</v>
      </c>
      <c r="Q61" s="1049"/>
      <c r="R61" s="849"/>
      <c r="S61" s="849">
        <f>SUM(S5:S49)</f>
        <v>0</v>
      </c>
      <c r="T61" s="750"/>
      <c r="V61" s="1"/>
      <c r="X61" s="1199" t="s">
        <v>8</v>
      </c>
    </row>
    <row r="62" spans="2:24" ht="15.75" customHeight="1" thickBot="1" x14ac:dyDescent="0.4">
      <c r="B62" s="1042"/>
      <c r="D62" s="1099" t="s">
        <v>953</v>
      </c>
      <c r="E62" s="1090"/>
      <c r="F62" s="1098"/>
      <c r="G62" s="1097"/>
      <c r="H62" s="1090"/>
      <c r="I62" s="1090"/>
      <c r="J62" s="1090"/>
      <c r="K62" s="1090"/>
      <c r="L62" s="1090"/>
      <c r="M62" s="1090"/>
      <c r="N62" s="1098"/>
      <c r="P62" s="1116" t="s">
        <v>954</v>
      </c>
      <c r="Q62" s="1034"/>
      <c r="R62" s="849"/>
      <c r="S62" s="849"/>
      <c r="T62" s="849">
        <f>SUM(T5:T49)</f>
        <v>0</v>
      </c>
      <c r="V62" s="1"/>
      <c r="X62" s="1200" t="s">
        <v>3</v>
      </c>
    </row>
    <row r="63" spans="2:24" ht="15.75" customHeight="1" thickBot="1" x14ac:dyDescent="0.4">
      <c r="B63" s="750"/>
      <c r="D63" s="133"/>
      <c r="E63" s="133"/>
      <c r="F63" s="133"/>
      <c r="G63" s="1097"/>
      <c r="H63" s="1090"/>
      <c r="I63" s="1090"/>
      <c r="J63" s="1090"/>
      <c r="K63" s="1090"/>
      <c r="L63" s="1090"/>
      <c r="M63" s="1090"/>
      <c r="N63" s="1098"/>
      <c r="P63" s="1109" t="s">
        <v>956</v>
      </c>
      <c r="Q63" s="1110"/>
      <c r="R63" s="849"/>
      <c r="S63" s="849"/>
      <c r="T63" s="849"/>
      <c r="U63" s="851">
        <f>SUM(U5:U49)</f>
        <v>0</v>
      </c>
      <c r="V63" s="1"/>
      <c r="X63" s="1201" t="s">
        <v>1033</v>
      </c>
    </row>
    <row r="64" spans="2:24" ht="15.75" customHeight="1" thickBot="1" x14ac:dyDescent="0.5">
      <c r="B64" s="750"/>
      <c r="D64" s="133"/>
      <c r="E64" s="133"/>
      <c r="F64" s="133"/>
      <c r="G64" s="1097"/>
      <c r="H64" s="1090"/>
      <c r="I64" s="1090"/>
      <c r="J64" s="1090"/>
      <c r="K64" s="1090"/>
      <c r="L64" s="1090"/>
      <c r="M64" s="1090"/>
      <c r="N64" s="1098"/>
      <c r="P64" s="852" t="s">
        <v>957</v>
      </c>
      <c r="Q64" s="853"/>
      <c r="R64" s="854"/>
      <c r="S64" s="854"/>
      <c r="T64" s="854"/>
      <c r="U64" s="1111">
        <f>SUM(V5:V49)</f>
        <v>0</v>
      </c>
      <c r="V64" s="1094"/>
      <c r="X64" s="1202" t="s">
        <v>1034</v>
      </c>
    </row>
    <row r="65" spans="2:24" ht="22.5" customHeight="1" thickTop="1" thickBot="1" x14ac:dyDescent="0.5">
      <c r="B65" s="750"/>
      <c r="D65" s="133"/>
      <c r="E65" s="133"/>
      <c r="F65" s="133"/>
      <c r="G65" s="1097"/>
      <c r="H65" s="1090"/>
      <c r="I65" s="1090"/>
      <c r="J65" s="1090"/>
      <c r="K65" s="1090"/>
      <c r="L65" s="1090"/>
      <c r="M65" s="1090"/>
      <c r="N65" s="1098"/>
      <c r="P65" s="1112" t="s">
        <v>958</v>
      </c>
      <c r="Q65" s="1065"/>
      <c r="R65" s="855"/>
      <c r="S65" s="1108">
        <v>0</v>
      </c>
      <c r="T65" s="1063"/>
      <c r="U65" s="1103">
        <f>U64*S65</f>
        <v>0</v>
      </c>
      <c r="V65" s="1096"/>
      <c r="W65" s="856"/>
      <c r="X65" s="1203" t="s">
        <v>1035</v>
      </c>
    </row>
    <row r="66" spans="2:24" ht="22.5" customHeight="1" thickTop="1" thickBot="1" x14ac:dyDescent="0.4">
      <c r="B66" s="750"/>
      <c r="D66" s="1099" t="s">
        <v>959</v>
      </c>
      <c r="E66" s="1090"/>
      <c r="F66" s="1098"/>
      <c r="G66" s="1097"/>
      <c r="H66" s="1090"/>
      <c r="I66" s="1090"/>
      <c r="J66" s="1090"/>
      <c r="K66" s="1090"/>
      <c r="L66" s="1090"/>
      <c r="M66" s="1090"/>
      <c r="N66" s="1098"/>
      <c r="P66" s="1100" t="s">
        <v>960</v>
      </c>
      <c r="Q66" s="1058"/>
      <c r="R66" s="1058"/>
      <c r="S66" s="1058"/>
      <c r="T66" s="1096"/>
      <c r="U66" s="1103">
        <f>U64-U65</f>
        <v>0</v>
      </c>
      <c r="V66" s="1096"/>
      <c r="X66" s="1204" t="s">
        <v>4</v>
      </c>
    </row>
    <row r="67" spans="2:24" ht="18.75" customHeight="1" thickBot="1" x14ac:dyDescent="0.5">
      <c r="B67" s="750"/>
      <c r="D67" s="1099" t="s">
        <v>961</v>
      </c>
      <c r="E67" s="1090"/>
      <c r="F67" s="1098"/>
      <c r="G67" s="1101"/>
      <c r="H67" s="1042"/>
      <c r="I67" s="1042"/>
      <c r="J67" s="1042"/>
      <c r="K67" s="1042"/>
      <c r="L67" s="1042"/>
      <c r="M67" s="1042"/>
      <c r="N67" s="1102"/>
      <c r="P67" s="781"/>
      <c r="Q67" s="781"/>
      <c r="R67" s="781"/>
      <c r="S67" s="781"/>
      <c r="T67" s="781"/>
      <c r="U67" s="781"/>
      <c r="V67" s="781"/>
    </row>
    <row r="68" spans="2:24" ht="15.75" customHeight="1" x14ac:dyDescent="0.45">
      <c r="B68" s="750"/>
      <c r="D68" s="1099" t="s">
        <v>962</v>
      </c>
      <c r="E68" s="1090"/>
      <c r="F68" s="1098"/>
      <c r="G68" s="1097"/>
      <c r="H68" s="1090"/>
      <c r="I68" s="1090"/>
      <c r="J68" s="1090"/>
      <c r="K68" s="1090"/>
      <c r="L68" s="1090"/>
      <c r="M68" s="1090"/>
      <c r="N68" s="1098"/>
      <c r="P68" s="781"/>
      <c r="Q68" s="781"/>
      <c r="R68" s="781"/>
      <c r="S68" s="781"/>
      <c r="T68" s="750"/>
      <c r="U68" s="1104"/>
      <c r="V68" s="1042"/>
    </row>
    <row r="69" spans="2:24" ht="15.75" customHeight="1" x14ac:dyDescent="0.35">
      <c r="B69" s="750"/>
      <c r="D69" s="1099" t="s">
        <v>963</v>
      </c>
      <c r="E69" s="1090"/>
      <c r="F69" s="1098"/>
      <c r="G69" s="1097"/>
      <c r="H69" s="1090"/>
      <c r="I69" s="1090"/>
      <c r="J69" s="1090"/>
      <c r="K69" s="1090"/>
      <c r="L69" s="1090"/>
      <c r="M69" s="1090"/>
      <c r="N69" s="1098"/>
      <c r="V69" s="1"/>
    </row>
    <row r="70" spans="2:24" ht="15.75" customHeight="1" x14ac:dyDescent="0.35">
      <c r="B70" s="750"/>
      <c r="D70" s="1099" t="s">
        <v>964</v>
      </c>
      <c r="E70" s="1090"/>
      <c r="F70" s="1098"/>
      <c r="G70" s="1105"/>
      <c r="H70" s="1106"/>
      <c r="I70" s="1106"/>
      <c r="J70" s="1106"/>
      <c r="K70" s="1106"/>
      <c r="L70" s="1106"/>
      <c r="M70" s="1106"/>
      <c r="N70" s="1107"/>
      <c r="V70" s="1"/>
    </row>
    <row r="71" spans="2:24" ht="15.75" customHeight="1" x14ac:dyDescent="0.35">
      <c r="B71" s="750"/>
      <c r="D71" s="1097" t="s">
        <v>965</v>
      </c>
      <c r="E71" s="1090"/>
      <c r="F71" s="1098"/>
      <c r="G71" s="1097"/>
      <c r="H71" s="1090"/>
      <c r="I71" s="1090"/>
      <c r="J71" s="1090"/>
      <c r="K71" s="1090"/>
      <c r="L71" s="1090"/>
      <c r="M71" s="1090"/>
      <c r="N71" s="1098"/>
      <c r="V71" s="1"/>
    </row>
    <row r="72" spans="2:24" ht="15.75" customHeight="1" x14ac:dyDescent="0.35">
      <c r="B72" s="750"/>
      <c r="V72" s="1"/>
    </row>
    <row r="73" spans="2:24" ht="15.75" customHeight="1" x14ac:dyDescent="0.35">
      <c r="B73" s="750"/>
      <c r="V73" s="1"/>
    </row>
    <row r="74" spans="2:24" ht="15.75" customHeight="1" x14ac:dyDescent="0.35">
      <c r="B74" s="750"/>
      <c r="T74" s="353"/>
      <c r="V74" s="1"/>
    </row>
    <row r="75" spans="2:24" ht="15.75" customHeight="1" x14ac:dyDescent="0.35">
      <c r="B75" s="750"/>
      <c r="V75" s="1"/>
    </row>
    <row r="76" spans="2:24" ht="15.75" customHeight="1" x14ac:dyDescent="0.35">
      <c r="B76" s="750"/>
      <c r="V76" s="1"/>
    </row>
    <row r="77" spans="2:24" ht="15.75" customHeight="1" x14ac:dyDescent="0.35">
      <c r="B77" s="750"/>
      <c r="V77" s="1"/>
    </row>
    <row r="78" spans="2:24" ht="15.75" customHeight="1" x14ac:dyDescent="0.35">
      <c r="B78" s="750"/>
      <c r="V78" s="1"/>
    </row>
    <row r="79" spans="2:24" ht="15.75" customHeight="1" x14ac:dyDescent="0.35">
      <c r="B79" s="750"/>
      <c r="V79" s="1"/>
    </row>
    <row r="80" spans="2:24" ht="15.75" customHeight="1" x14ac:dyDescent="0.35">
      <c r="B80" s="750"/>
      <c r="V80" s="1"/>
    </row>
    <row r="81" spans="2:22" ht="15.75" customHeight="1" x14ac:dyDescent="0.35">
      <c r="B81" s="750"/>
      <c r="V81" s="1"/>
    </row>
    <row r="82" spans="2:22" ht="15.75" customHeight="1" x14ac:dyDescent="0.35">
      <c r="B82" s="750"/>
      <c r="V82" s="1"/>
    </row>
    <row r="83" spans="2:22" ht="15.75" customHeight="1" x14ac:dyDescent="0.35">
      <c r="B83" s="750"/>
      <c r="V83" s="1"/>
    </row>
    <row r="84" spans="2:22" ht="15.75" customHeight="1" x14ac:dyDescent="0.35">
      <c r="B84" s="750"/>
      <c r="V84" s="1"/>
    </row>
    <row r="85" spans="2:22" ht="15.75" customHeight="1" x14ac:dyDescent="0.35">
      <c r="B85" s="750"/>
      <c r="V85" s="1"/>
    </row>
    <row r="86" spans="2:22" ht="15.75" customHeight="1" x14ac:dyDescent="0.35">
      <c r="B86" s="750"/>
      <c r="V86" s="1"/>
    </row>
    <row r="87" spans="2:22" ht="15.75" customHeight="1" x14ac:dyDescent="0.35">
      <c r="B87" s="750"/>
      <c r="V87" s="1"/>
    </row>
    <row r="88" spans="2:22" ht="15.75" customHeight="1" x14ac:dyDescent="0.35">
      <c r="B88" s="750"/>
      <c r="V88" s="1"/>
    </row>
    <row r="89" spans="2:22" ht="15.75" customHeight="1" x14ac:dyDescent="0.35">
      <c r="B89" s="750"/>
      <c r="V89" s="1"/>
    </row>
    <row r="90" spans="2:22" ht="15.75" customHeight="1" x14ac:dyDescent="0.35">
      <c r="B90" s="750"/>
      <c r="V90" s="1"/>
    </row>
    <row r="91" spans="2:22" ht="15.75" customHeight="1" x14ac:dyDescent="0.35">
      <c r="B91" s="750"/>
      <c r="V91" s="1"/>
    </row>
    <row r="92" spans="2:22" ht="15.75" customHeight="1" x14ac:dyDescent="0.35">
      <c r="B92" s="750"/>
      <c r="V92" s="1"/>
    </row>
    <row r="93" spans="2:22" ht="15.75" customHeight="1" x14ac:dyDescent="0.35">
      <c r="B93" s="750"/>
      <c r="V93" s="1"/>
    </row>
    <row r="94" spans="2:22" ht="15.75" customHeight="1" x14ac:dyDescent="0.35">
      <c r="B94" s="750"/>
      <c r="V94" s="1"/>
    </row>
    <row r="95" spans="2:22" ht="15.75" customHeight="1" x14ac:dyDescent="0.35">
      <c r="B95" s="750"/>
      <c r="V95" s="1"/>
    </row>
    <row r="96" spans="2:22" ht="15.75" customHeight="1" x14ac:dyDescent="0.35">
      <c r="B96" s="750"/>
      <c r="V96" s="1"/>
    </row>
    <row r="97" spans="2:22" ht="15.75" customHeight="1" x14ac:dyDescent="0.35">
      <c r="B97" s="750"/>
      <c r="V97" s="1"/>
    </row>
    <row r="98" spans="2:22" ht="15.75" customHeight="1" x14ac:dyDescent="0.35">
      <c r="B98" s="750"/>
      <c r="V98" s="1"/>
    </row>
    <row r="99" spans="2:22" ht="15.75" customHeight="1" x14ac:dyDescent="0.35">
      <c r="B99" s="750"/>
      <c r="V99" s="1"/>
    </row>
    <row r="100" spans="2:22" ht="15.75" customHeight="1" x14ac:dyDescent="0.35">
      <c r="B100" s="750"/>
      <c r="V100" s="1"/>
    </row>
    <row r="101" spans="2:22" ht="15.75" customHeight="1" x14ac:dyDescent="0.35">
      <c r="B101" s="750"/>
      <c r="V101" s="1"/>
    </row>
    <row r="102" spans="2:22" ht="15.75" customHeight="1" x14ac:dyDescent="0.35">
      <c r="B102" s="750"/>
      <c r="V102" s="1"/>
    </row>
    <row r="103" spans="2:22" ht="15.75" customHeight="1" x14ac:dyDescent="0.35">
      <c r="B103" s="750"/>
      <c r="V103" s="1"/>
    </row>
    <row r="104" spans="2:22" ht="15.75" customHeight="1" x14ac:dyDescent="0.35">
      <c r="B104" s="750"/>
      <c r="V104" s="1"/>
    </row>
    <row r="105" spans="2:22" ht="15.75" customHeight="1" x14ac:dyDescent="0.35">
      <c r="B105" s="750"/>
      <c r="V105" s="1"/>
    </row>
    <row r="106" spans="2:22" ht="15.75" customHeight="1" x14ac:dyDescent="0.35">
      <c r="B106" s="750"/>
      <c r="V106" s="1"/>
    </row>
    <row r="107" spans="2:22" ht="15.75" customHeight="1" x14ac:dyDescent="0.35">
      <c r="B107" s="750"/>
      <c r="V107" s="1"/>
    </row>
    <row r="108" spans="2:22" ht="15.75" customHeight="1" x14ac:dyDescent="0.35">
      <c r="B108" s="750"/>
      <c r="V108" s="1"/>
    </row>
    <row r="109" spans="2:22" ht="15.75" customHeight="1" x14ac:dyDescent="0.35">
      <c r="B109" s="750"/>
      <c r="V109" s="1"/>
    </row>
    <row r="110" spans="2:22" ht="15.75" customHeight="1" x14ac:dyDescent="0.35">
      <c r="B110" s="750"/>
      <c r="V110" s="1"/>
    </row>
    <row r="111" spans="2:22" ht="15.75" customHeight="1" x14ac:dyDescent="0.35">
      <c r="B111" s="750"/>
      <c r="V111" s="1"/>
    </row>
    <row r="112" spans="2:22" ht="15.75" customHeight="1" x14ac:dyDescent="0.35">
      <c r="B112" s="750"/>
      <c r="V112" s="1"/>
    </row>
    <row r="113" spans="2:22" ht="15.75" customHeight="1" x14ac:dyDescent="0.35">
      <c r="B113" s="750"/>
      <c r="V113" s="1"/>
    </row>
    <row r="114" spans="2:22" ht="15.75" customHeight="1" x14ac:dyDescent="0.35">
      <c r="B114" s="750"/>
      <c r="V114" s="1"/>
    </row>
    <row r="115" spans="2:22" ht="15.75" customHeight="1" x14ac:dyDescent="0.35">
      <c r="B115" s="750"/>
      <c r="V115" s="1"/>
    </row>
    <row r="116" spans="2:22" ht="15.75" customHeight="1" x14ac:dyDescent="0.35">
      <c r="B116" s="750"/>
      <c r="V116" s="1"/>
    </row>
    <row r="117" spans="2:22" ht="15.75" customHeight="1" x14ac:dyDescent="0.35">
      <c r="B117" s="750"/>
      <c r="V117" s="1"/>
    </row>
    <row r="118" spans="2:22" ht="15.75" customHeight="1" x14ac:dyDescent="0.35">
      <c r="B118" s="750"/>
      <c r="V118" s="1"/>
    </row>
    <row r="119" spans="2:22" ht="15.75" customHeight="1" x14ac:dyDescent="0.35">
      <c r="B119" s="750"/>
      <c r="V119" s="1"/>
    </row>
    <row r="120" spans="2:22" ht="15.75" customHeight="1" x14ac:dyDescent="0.35">
      <c r="B120" s="750"/>
      <c r="V120" s="1"/>
    </row>
    <row r="121" spans="2:22" ht="15.75" customHeight="1" x14ac:dyDescent="0.35">
      <c r="B121" s="750"/>
      <c r="V121" s="1"/>
    </row>
    <row r="122" spans="2:22" ht="15.75" customHeight="1" x14ac:dyDescent="0.35">
      <c r="B122" s="750"/>
      <c r="V122" s="1"/>
    </row>
    <row r="123" spans="2:22" ht="15.75" customHeight="1" x14ac:dyDescent="0.35">
      <c r="B123" s="750"/>
      <c r="V123" s="1"/>
    </row>
    <row r="124" spans="2:22" ht="15.75" customHeight="1" x14ac:dyDescent="0.35">
      <c r="B124" s="750"/>
      <c r="V124" s="1"/>
    </row>
    <row r="125" spans="2:22" ht="15.75" customHeight="1" x14ac:dyDescent="0.35">
      <c r="B125" s="750"/>
      <c r="V125" s="1"/>
    </row>
    <row r="126" spans="2:22" ht="15.75" customHeight="1" x14ac:dyDescent="0.35">
      <c r="B126" s="750"/>
      <c r="V126" s="1"/>
    </row>
    <row r="127" spans="2:22" ht="15.75" customHeight="1" x14ac:dyDescent="0.35">
      <c r="B127" s="750"/>
      <c r="V127" s="1"/>
    </row>
    <row r="128" spans="2:22" ht="15.75" customHeight="1" x14ac:dyDescent="0.35">
      <c r="B128" s="750"/>
      <c r="V128" s="1"/>
    </row>
    <row r="129" spans="2:22" ht="15.75" customHeight="1" x14ac:dyDescent="0.35">
      <c r="B129" s="750"/>
      <c r="V129" s="1"/>
    </row>
    <row r="130" spans="2:22" ht="15.75" customHeight="1" x14ac:dyDescent="0.35">
      <c r="B130" s="750"/>
      <c r="V130" s="1"/>
    </row>
    <row r="131" spans="2:22" ht="15.75" customHeight="1" x14ac:dyDescent="0.35">
      <c r="B131" s="750"/>
      <c r="V131" s="1"/>
    </row>
    <row r="132" spans="2:22" ht="15.75" customHeight="1" x14ac:dyDescent="0.35">
      <c r="B132" s="750"/>
      <c r="V132" s="1"/>
    </row>
    <row r="133" spans="2:22" ht="15.75" customHeight="1" x14ac:dyDescent="0.35">
      <c r="B133" s="750"/>
      <c r="V133" s="1"/>
    </row>
    <row r="134" spans="2:22" ht="15.75" customHeight="1" x14ac:dyDescent="0.35">
      <c r="B134" s="750"/>
      <c r="V134" s="1"/>
    </row>
    <row r="135" spans="2:22" ht="15.75" customHeight="1" x14ac:dyDescent="0.35">
      <c r="B135" s="750"/>
      <c r="V135" s="1"/>
    </row>
    <row r="136" spans="2:22" ht="15.75" customHeight="1" x14ac:dyDescent="0.35">
      <c r="B136" s="750"/>
      <c r="V136" s="1"/>
    </row>
    <row r="137" spans="2:22" ht="15.75" customHeight="1" x14ac:dyDescent="0.35">
      <c r="B137" s="750"/>
      <c r="V137" s="1"/>
    </row>
    <row r="138" spans="2:22" ht="15.75" customHeight="1" x14ac:dyDescent="0.35">
      <c r="B138" s="750"/>
      <c r="V138" s="1"/>
    </row>
    <row r="139" spans="2:22" ht="15.75" customHeight="1" x14ac:dyDescent="0.35">
      <c r="B139" s="750"/>
      <c r="V139" s="1"/>
    </row>
    <row r="140" spans="2:22" ht="15.75" customHeight="1" x14ac:dyDescent="0.35">
      <c r="B140" s="750"/>
      <c r="V140" s="1"/>
    </row>
    <row r="141" spans="2:22" ht="15.75" customHeight="1" x14ac:dyDescent="0.35">
      <c r="B141" s="750"/>
      <c r="V141" s="1"/>
    </row>
    <row r="142" spans="2:22" ht="15.75" customHeight="1" x14ac:dyDescent="0.35">
      <c r="B142" s="750"/>
      <c r="V142" s="1"/>
    </row>
    <row r="143" spans="2:22" ht="15.75" customHeight="1" x14ac:dyDescent="0.35">
      <c r="B143" s="750"/>
      <c r="V143" s="1"/>
    </row>
    <row r="144" spans="2:22" ht="15.75" customHeight="1" x14ac:dyDescent="0.35">
      <c r="B144" s="750"/>
      <c r="V144" s="1"/>
    </row>
    <row r="145" spans="2:22" ht="15.75" customHeight="1" x14ac:dyDescent="0.35">
      <c r="B145" s="750"/>
      <c r="V145" s="1"/>
    </row>
    <row r="146" spans="2:22" ht="15.75" customHeight="1" x14ac:dyDescent="0.35">
      <c r="B146" s="750"/>
      <c r="V146" s="1"/>
    </row>
    <row r="147" spans="2:22" ht="15.75" customHeight="1" x14ac:dyDescent="0.35">
      <c r="B147" s="750"/>
      <c r="V147" s="1"/>
    </row>
    <row r="148" spans="2:22" ht="15.75" customHeight="1" x14ac:dyDescent="0.35">
      <c r="B148" s="750"/>
      <c r="V148" s="1"/>
    </row>
    <row r="149" spans="2:22" ht="15.75" customHeight="1" x14ac:dyDescent="0.35">
      <c r="B149" s="750"/>
      <c r="V149" s="1"/>
    </row>
    <row r="150" spans="2:22" ht="15.75" customHeight="1" x14ac:dyDescent="0.35">
      <c r="B150" s="750"/>
      <c r="V150" s="1"/>
    </row>
    <row r="151" spans="2:22" ht="15.75" customHeight="1" x14ac:dyDescent="0.35">
      <c r="B151" s="750"/>
      <c r="V151" s="1"/>
    </row>
    <row r="152" spans="2:22" ht="15.75" customHeight="1" x14ac:dyDescent="0.35">
      <c r="B152" s="750"/>
      <c r="V152" s="1"/>
    </row>
    <row r="153" spans="2:22" ht="15.75" customHeight="1" x14ac:dyDescent="0.35">
      <c r="B153" s="750"/>
      <c r="V153" s="1"/>
    </row>
    <row r="154" spans="2:22" ht="15.75" customHeight="1" x14ac:dyDescent="0.35">
      <c r="B154" s="750"/>
      <c r="V154" s="1"/>
    </row>
    <row r="155" spans="2:22" ht="15.75" customHeight="1" x14ac:dyDescent="0.35">
      <c r="B155" s="750"/>
      <c r="V155" s="1"/>
    </row>
    <row r="156" spans="2:22" ht="15.75" customHeight="1" x14ac:dyDescent="0.35">
      <c r="B156" s="750"/>
      <c r="V156" s="1"/>
    </row>
    <row r="157" spans="2:22" ht="15.75" customHeight="1" x14ac:dyDescent="0.35">
      <c r="B157" s="750"/>
      <c r="V157" s="1"/>
    </row>
    <row r="158" spans="2:22" ht="15.75" customHeight="1" x14ac:dyDescent="0.35">
      <c r="B158" s="750"/>
      <c r="V158" s="1"/>
    </row>
    <row r="159" spans="2:22" ht="15.75" customHeight="1" x14ac:dyDescent="0.35">
      <c r="B159" s="750"/>
      <c r="V159" s="1"/>
    </row>
    <row r="160" spans="2:22" ht="15.75" customHeight="1" x14ac:dyDescent="0.35">
      <c r="B160" s="750"/>
      <c r="V160" s="1"/>
    </row>
    <row r="161" spans="2:22" ht="15.75" customHeight="1" x14ac:dyDescent="0.35">
      <c r="B161" s="750"/>
      <c r="V161" s="1"/>
    </row>
    <row r="162" spans="2:22" ht="15.75" customHeight="1" x14ac:dyDescent="0.35">
      <c r="B162" s="750"/>
      <c r="V162" s="1"/>
    </row>
    <row r="163" spans="2:22" ht="15.75" customHeight="1" x14ac:dyDescent="0.35">
      <c r="B163" s="750"/>
      <c r="V163" s="1"/>
    </row>
    <row r="164" spans="2:22" ht="15.75" customHeight="1" x14ac:dyDescent="0.35">
      <c r="B164" s="750"/>
      <c r="V164" s="1"/>
    </row>
    <row r="165" spans="2:22" ht="15.75" customHeight="1" x14ac:dyDescent="0.35">
      <c r="B165" s="750"/>
      <c r="V165" s="1"/>
    </row>
    <row r="166" spans="2:22" ht="15.75" customHeight="1" x14ac:dyDescent="0.35">
      <c r="B166" s="750"/>
      <c r="V166" s="1"/>
    </row>
    <row r="167" spans="2:22" ht="15.75" customHeight="1" x14ac:dyDescent="0.35">
      <c r="B167" s="750"/>
      <c r="V167" s="1"/>
    </row>
    <row r="168" spans="2:22" ht="15.75" customHeight="1" x14ac:dyDescent="0.35">
      <c r="B168" s="750"/>
      <c r="V168" s="1"/>
    </row>
    <row r="169" spans="2:22" ht="15.75" customHeight="1" x14ac:dyDescent="0.35">
      <c r="B169" s="750"/>
      <c r="V169" s="1"/>
    </row>
    <row r="170" spans="2:22" ht="15.75" customHeight="1" x14ac:dyDescent="0.35">
      <c r="B170" s="750"/>
      <c r="V170" s="1"/>
    </row>
    <row r="171" spans="2:22" ht="15.75" customHeight="1" x14ac:dyDescent="0.35">
      <c r="B171" s="750"/>
      <c r="V171" s="1"/>
    </row>
    <row r="172" spans="2:22" ht="15.75" customHeight="1" x14ac:dyDescent="0.35">
      <c r="B172" s="750"/>
      <c r="V172" s="1"/>
    </row>
    <row r="173" spans="2:22" ht="15.75" customHeight="1" x14ac:dyDescent="0.35">
      <c r="B173" s="750"/>
      <c r="V173" s="1"/>
    </row>
    <row r="174" spans="2:22" ht="15.75" customHeight="1" x14ac:dyDescent="0.35">
      <c r="B174" s="750"/>
      <c r="V174" s="1"/>
    </row>
    <row r="175" spans="2:22" ht="15.75" customHeight="1" x14ac:dyDescent="0.35">
      <c r="B175" s="750"/>
      <c r="V175" s="1"/>
    </row>
    <row r="176" spans="2:22" ht="15.75" customHeight="1" x14ac:dyDescent="0.35">
      <c r="B176" s="750"/>
      <c r="V176" s="1"/>
    </row>
    <row r="177" spans="2:22" ht="15.75" customHeight="1" x14ac:dyDescent="0.35">
      <c r="B177" s="750"/>
      <c r="V177" s="1"/>
    </row>
    <row r="178" spans="2:22" ht="15.75" customHeight="1" x14ac:dyDescent="0.35">
      <c r="B178" s="750"/>
      <c r="V178" s="1"/>
    </row>
    <row r="179" spans="2:22" ht="15.75" customHeight="1" x14ac:dyDescent="0.35">
      <c r="B179" s="750"/>
      <c r="V179" s="1"/>
    </row>
    <row r="180" spans="2:22" ht="15.75" customHeight="1" x14ac:dyDescent="0.35">
      <c r="B180" s="750"/>
      <c r="V180" s="1"/>
    </row>
    <row r="181" spans="2:22" ht="15.75" customHeight="1" x14ac:dyDescent="0.35">
      <c r="B181" s="750"/>
      <c r="V181" s="1"/>
    </row>
    <row r="182" spans="2:22" ht="15.75" customHeight="1" x14ac:dyDescent="0.35">
      <c r="B182" s="750"/>
      <c r="V182" s="1"/>
    </row>
    <row r="183" spans="2:22" ht="15.75" customHeight="1" x14ac:dyDescent="0.35">
      <c r="B183" s="750"/>
      <c r="V183" s="1"/>
    </row>
    <row r="184" spans="2:22" ht="15.75" customHeight="1" x14ac:dyDescent="0.35">
      <c r="B184" s="750"/>
      <c r="V184" s="1"/>
    </row>
    <row r="185" spans="2:22" ht="15.75" customHeight="1" x14ac:dyDescent="0.35">
      <c r="B185" s="750"/>
      <c r="V185" s="1"/>
    </row>
    <row r="186" spans="2:22" ht="15.75" customHeight="1" x14ac:dyDescent="0.35">
      <c r="B186" s="750"/>
      <c r="V186" s="1"/>
    </row>
    <row r="187" spans="2:22" ht="15.75" customHeight="1" x14ac:dyDescent="0.35">
      <c r="B187" s="750"/>
      <c r="V187" s="1"/>
    </row>
    <row r="188" spans="2:22" ht="15.75" customHeight="1" x14ac:dyDescent="0.35">
      <c r="B188" s="750"/>
      <c r="V188" s="1"/>
    </row>
    <row r="189" spans="2:22" ht="15.75" customHeight="1" x14ac:dyDescent="0.35">
      <c r="B189" s="750"/>
      <c r="V189" s="1"/>
    </row>
    <row r="190" spans="2:22" ht="15.75" customHeight="1" x14ac:dyDescent="0.35">
      <c r="B190" s="750"/>
      <c r="V190" s="1"/>
    </row>
    <row r="191" spans="2:22" ht="15.75" customHeight="1" x14ac:dyDescent="0.35">
      <c r="B191" s="750"/>
      <c r="V191" s="1"/>
    </row>
    <row r="192" spans="2:22" ht="15.75" customHeight="1" x14ac:dyDescent="0.35">
      <c r="B192" s="750"/>
      <c r="V192" s="1"/>
    </row>
    <row r="193" spans="2:22" ht="15.75" customHeight="1" x14ac:dyDescent="0.35">
      <c r="B193" s="750"/>
      <c r="V193" s="1"/>
    </row>
    <row r="194" spans="2:22" ht="15.75" customHeight="1" x14ac:dyDescent="0.35">
      <c r="B194" s="750"/>
      <c r="V194" s="1"/>
    </row>
    <row r="195" spans="2:22" ht="15.75" customHeight="1" x14ac:dyDescent="0.35">
      <c r="B195" s="750"/>
      <c r="V195" s="1"/>
    </row>
    <row r="196" spans="2:22" ht="15.75" customHeight="1" x14ac:dyDescent="0.35">
      <c r="B196" s="750"/>
      <c r="V196" s="1"/>
    </row>
    <row r="197" spans="2:22" ht="15.75" customHeight="1" x14ac:dyDescent="0.35">
      <c r="B197" s="750"/>
      <c r="V197" s="1"/>
    </row>
    <row r="198" spans="2:22" ht="15.75" customHeight="1" x14ac:dyDescent="0.35">
      <c r="B198" s="750"/>
      <c r="V198" s="1"/>
    </row>
    <row r="199" spans="2:22" ht="15.75" customHeight="1" x14ac:dyDescent="0.35">
      <c r="B199" s="750"/>
      <c r="V199" s="1"/>
    </row>
    <row r="200" spans="2:22" ht="15.75" customHeight="1" x14ac:dyDescent="0.35">
      <c r="B200" s="750"/>
      <c r="V200" s="1"/>
    </row>
    <row r="201" spans="2:22" ht="15.75" customHeight="1" x14ac:dyDescent="0.35">
      <c r="B201" s="750"/>
      <c r="V201" s="1"/>
    </row>
    <row r="202" spans="2:22" ht="15.75" customHeight="1" x14ac:dyDescent="0.35">
      <c r="B202" s="750"/>
      <c r="V202" s="1"/>
    </row>
    <row r="203" spans="2:22" ht="15.75" customHeight="1" x14ac:dyDescent="0.35">
      <c r="B203" s="750"/>
      <c r="V203" s="1"/>
    </row>
    <row r="204" spans="2:22" ht="15.75" customHeight="1" x14ac:dyDescent="0.35">
      <c r="B204" s="750"/>
      <c r="V204" s="1"/>
    </row>
    <row r="205" spans="2:22" ht="15.75" customHeight="1" x14ac:dyDescent="0.35">
      <c r="B205" s="750"/>
      <c r="V205" s="1"/>
    </row>
    <row r="206" spans="2:22" ht="15.75" customHeight="1" x14ac:dyDescent="0.35">
      <c r="B206" s="750"/>
      <c r="V206" s="1"/>
    </row>
    <row r="207" spans="2:22" ht="15.75" customHeight="1" x14ac:dyDescent="0.35">
      <c r="B207" s="750"/>
      <c r="V207" s="1"/>
    </row>
    <row r="208" spans="2:22" ht="15.75" customHeight="1" x14ac:dyDescent="0.35">
      <c r="B208" s="750"/>
      <c r="V208" s="1"/>
    </row>
    <row r="209" spans="2:22" ht="15.75" customHeight="1" x14ac:dyDescent="0.35">
      <c r="B209" s="750"/>
      <c r="V209" s="1"/>
    </row>
    <row r="210" spans="2:22" ht="15.75" customHeight="1" x14ac:dyDescent="0.35">
      <c r="B210" s="750"/>
      <c r="V210" s="1"/>
    </row>
    <row r="211" spans="2:22" ht="15.75" customHeight="1" x14ac:dyDescent="0.35">
      <c r="B211" s="750"/>
      <c r="V211" s="1"/>
    </row>
    <row r="212" spans="2:22" ht="15.75" customHeight="1" x14ac:dyDescent="0.35">
      <c r="B212" s="750"/>
      <c r="V212" s="1"/>
    </row>
    <row r="213" spans="2:22" ht="15.75" customHeight="1" x14ac:dyDescent="0.35">
      <c r="B213" s="750"/>
      <c r="V213" s="1"/>
    </row>
    <row r="214" spans="2:22" ht="15.75" customHeight="1" x14ac:dyDescent="0.35">
      <c r="B214" s="750"/>
      <c r="V214" s="1"/>
    </row>
    <row r="215" spans="2:22" ht="15.75" customHeight="1" x14ac:dyDescent="0.35">
      <c r="B215" s="750"/>
      <c r="V215" s="1"/>
    </row>
    <row r="216" spans="2:22" ht="15.75" customHeight="1" x14ac:dyDescent="0.35">
      <c r="B216" s="750"/>
      <c r="V216" s="1"/>
    </row>
    <row r="217" spans="2:22" ht="15.75" customHeight="1" x14ac:dyDescent="0.35">
      <c r="B217" s="750"/>
      <c r="V217" s="1"/>
    </row>
    <row r="218" spans="2:22" ht="15.75" customHeight="1" x14ac:dyDescent="0.35">
      <c r="B218" s="750"/>
      <c r="V218" s="1"/>
    </row>
    <row r="219" spans="2:22" ht="15.75" customHeight="1" x14ac:dyDescent="0.35">
      <c r="B219" s="750"/>
      <c r="V219" s="1"/>
    </row>
    <row r="220" spans="2:22" ht="15.75" customHeight="1" x14ac:dyDescent="0.35">
      <c r="B220" s="750"/>
      <c r="V220" s="1"/>
    </row>
    <row r="221" spans="2:22" ht="15.75" customHeight="1" x14ac:dyDescent="0.35">
      <c r="B221" s="750"/>
      <c r="V221" s="1"/>
    </row>
    <row r="222" spans="2:22" ht="15.75" customHeight="1" x14ac:dyDescent="0.35">
      <c r="B222" s="750"/>
      <c r="V222" s="1"/>
    </row>
    <row r="223" spans="2:22" ht="15.75" customHeight="1" x14ac:dyDescent="0.35">
      <c r="B223" s="750"/>
      <c r="V223" s="1"/>
    </row>
    <row r="224" spans="2:22" ht="15.75" customHeight="1" x14ac:dyDescent="0.35">
      <c r="B224" s="750"/>
      <c r="V224" s="1"/>
    </row>
    <row r="225" spans="2:22" ht="15.75" customHeight="1" x14ac:dyDescent="0.35">
      <c r="B225" s="750"/>
      <c r="V225" s="1"/>
    </row>
    <row r="226" spans="2:22" ht="15.75" customHeight="1" x14ac:dyDescent="0.35">
      <c r="B226" s="750"/>
      <c r="V226" s="1"/>
    </row>
    <row r="227" spans="2:22" ht="15.75" customHeight="1" x14ac:dyDescent="0.35">
      <c r="B227" s="750"/>
      <c r="V227" s="1"/>
    </row>
    <row r="228" spans="2:22" ht="15.75" customHeight="1" x14ac:dyDescent="0.35">
      <c r="B228" s="750"/>
      <c r="V228" s="1"/>
    </row>
    <row r="229" spans="2:22" ht="15.75" customHeight="1" x14ac:dyDescent="0.35">
      <c r="B229" s="750"/>
      <c r="V229" s="1"/>
    </row>
    <row r="230" spans="2:22" ht="15.75" customHeight="1" x14ac:dyDescent="0.35">
      <c r="B230" s="750"/>
      <c r="V230" s="1"/>
    </row>
    <row r="231" spans="2:22" ht="15.75" customHeight="1" x14ac:dyDescent="0.35">
      <c r="B231" s="750"/>
      <c r="V231" s="1"/>
    </row>
    <row r="232" spans="2:22" ht="15.75" customHeight="1" x14ac:dyDescent="0.35">
      <c r="B232" s="750"/>
      <c r="V232" s="1"/>
    </row>
    <row r="233" spans="2:22" ht="15.75" customHeight="1" x14ac:dyDescent="0.35">
      <c r="B233" s="750"/>
      <c r="V233" s="1"/>
    </row>
    <row r="234" spans="2:22" ht="15.75" customHeight="1" x14ac:dyDescent="0.35">
      <c r="B234" s="750"/>
      <c r="V234" s="1"/>
    </row>
    <row r="235" spans="2:22" ht="15.75" customHeight="1" x14ac:dyDescent="0.35">
      <c r="B235" s="750"/>
      <c r="V235" s="1"/>
    </row>
    <row r="236" spans="2:22" ht="15.75" customHeight="1" x14ac:dyDescent="0.35">
      <c r="B236" s="750"/>
      <c r="V236" s="1"/>
    </row>
    <row r="237" spans="2:22" ht="15.75" customHeight="1" x14ac:dyDescent="0.35">
      <c r="B237" s="750"/>
      <c r="V237" s="1"/>
    </row>
    <row r="238" spans="2:22" ht="15.75" customHeight="1" x14ac:dyDescent="0.35">
      <c r="B238" s="750"/>
      <c r="V238" s="1"/>
    </row>
    <row r="239" spans="2:22" ht="15.75" customHeight="1" x14ac:dyDescent="0.35">
      <c r="B239" s="750"/>
      <c r="V239" s="1"/>
    </row>
    <row r="240" spans="2:22" ht="15.75" customHeight="1" x14ac:dyDescent="0.35">
      <c r="B240" s="750"/>
      <c r="V240" s="1"/>
    </row>
    <row r="241" spans="2:22" ht="15.75" customHeight="1" x14ac:dyDescent="0.35">
      <c r="B241" s="750"/>
      <c r="V241" s="1"/>
    </row>
    <row r="242" spans="2:22" ht="15.75" customHeight="1" x14ac:dyDescent="0.35">
      <c r="B242" s="750"/>
      <c r="V242" s="1"/>
    </row>
    <row r="243" spans="2:22" ht="15.75" customHeight="1" x14ac:dyDescent="0.35">
      <c r="B243" s="750"/>
      <c r="V243" s="1"/>
    </row>
    <row r="244" spans="2:22" ht="15.75" customHeight="1" x14ac:dyDescent="0.35">
      <c r="B244" s="750"/>
      <c r="V244" s="1"/>
    </row>
    <row r="245" spans="2:22" ht="15.75" customHeight="1" x14ac:dyDescent="0.35">
      <c r="B245" s="750"/>
      <c r="V245" s="1"/>
    </row>
    <row r="246" spans="2:22" ht="15.75" customHeight="1" x14ac:dyDescent="0.35">
      <c r="B246" s="750"/>
      <c r="V246" s="1"/>
    </row>
    <row r="247" spans="2:22" ht="15.75" customHeight="1" x14ac:dyDescent="0.35">
      <c r="B247" s="750"/>
      <c r="V247" s="1"/>
    </row>
    <row r="248" spans="2:22" ht="15.75" customHeight="1" x14ac:dyDescent="0.35">
      <c r="B248" s="750"/>
      <c r="V248" s="1"/>
    </row>
    <row r="249" spans="2:22" ht="15.75" customHeight="1" x14ac:dyDescent="0.35">
      <c r="B249" s="750"/>
      <c r="V249" s="1"/>
    </row>
    <row r="250" spans="2:22" ht="15.75" customHeight="1" x14ac:dyDescent="0.35">
      <c r="B250" s="750"/>
      <c r="V250" s="1"/>
    </row>
    <row r="251" spans="2:22" ht="15.75" customHeight="1" x14ac:dyDescent="0.35">
      <c r="B251" s="750"/>
      <c r="V251" s="1"/>
    </row>
    <row r="252" spans="2:22" ht="15.75" customHeight="1" x14ac:dyDescent="0.35">
      <c r="B252" s="750"/>
      <c r="V252" s="1"/>
    </row>
    <row r="253" spans="2:22" ht="15.75" customHeight="1" x14ac:dyDescent="0.35">
      <c r="B253" s="750"/>
      <c r="V253" s="1"/>
    </row>
    <row r="254" spans="2:22" ht="15.75" customHeight="1" x14ac:dyDescent="0.35">
      <c r="B254" s="750"/>
      <c r="V254" s="1"/>
    </row>
    <row r="255" spans="2:22" ht="15.75" customHeight="1" x14ac:dyDescent="0.35">
      <c r="B255" s="750"/>
      <c r="V255" s="1"/>
    </row>
    <row r="256" spans="2:22" ht="15.75" customHeight="1" x14ac:dyDescent="0.35">
      <c r="B256" s="750"/>
      <c r="V256" s="1"/>
    </row>
    <row r="257" spans="2:22" ht="15.75" customHeight="1" x14ac:dyDescent="0.35">
      <c r="B257" s="750"/>
      <c r="V257" s="1"/>
    </row>
    <row r="258" spans="2:22" ht="15.75" customHeight="1" x14ac:dyDescent="0.35">
      <c r="B258" s="750"/>
      <c r="V258" s="1"/>
    </row>
    <row r="259" spans="2:22" ht="15.75" customHeight="1" x14ac:dyDescent="0.35">
      <c r="B259" s="750"/>
      <c r="V259" s="1"/>
    </row>
    <row r="260" spans="2:22" ht="15.75" customHeight="1" x14ac:dyDescent="0.35">
      <c r="B260" s="750"/>
      <c r="V260" s="1"/>
    </row>
    <row r="261" spans="2:22" ht="15.75" customHeight="1" x14ac:dyDescent="0.35">
      <c r="B261" s="750"/>
      <c r="V261" s="1"/>
    </row>
    <row r="262" spans="2:22" ht="15.75" customHeight="1" x14ac:dyDescent="0.35">
      <c r="B262" s="750"/>
      <c r="V262" s="1"/>
    </row>
    <row r="263" spans="2:22" ht="15.75" customHeight="1" x14ac:dyDescent="0.35">
      <c r="B263" s="750"/>
      <c r="V263" s="1"/>
    </row>
    <row r="264" spans="2:22" ht="15.75" customHeight="1" x14ac:dyDescent="0.35">
      <c r="B264" s="750"/>
      <c r="V264" s="1"/>
    </row>
    <row r="265" spans="2:22" ht="15.75" customHeight="1" x14ac:dyDescent="0.35">
      <c r="B265" s="750"/>
      <c r="V265" s="1"/>
    </row>
    <row r="266" spans="2:22" ht="15.75" customHeight="1" x14ac:dyDescent="0.35">
      <c r="B266" s="750"/>
      <c r="V266" s="1"/>
    </row>
    <row r="267" spans="2:22" ht="15.75" customHeight="1" x14ac:dyDescent="0.35">
      <c r="B267" s="750"/>
      <c r="V267" s="1"/>
    </row>
    <row r="268" spans="2:22" ht="15.75" customHeight="1" x14ac:dyDescent="0.35">
      <c r="B268" s="750"/>
      <c r="V268" s="1"/>
    </row>
    <row r="269" spans="2:22" ht="15.75" customHeight="1" x14ac:dyDescent="0.35">
      <c r="B269" s="750"/>
      <c r="V269" s="1"/>
    </row>
    <row r="270" spans="2:22" ht="15.75" customHeight="1" x14ac:dyDescent="0.35">
      <c r="B270" s="750"/>
      <c r="V270" s="1"/>
    </row>
    <row r="271" spans="2:22" ht="15.75" customHeight="1" x14ac:dyDescent="0.35">
      <c r="B271" s="750"/>
    </row>
    <row r="272" spans="2:22" ht="15.75" customHeight="1" x14ac:dyDescent="0.35">
      <c r="B272" s="750"/>
    </row>
    <row r="273" spans="2:2" ht="15.75" customHeight="1" x14ac:dyDescent="0.35">
      <c r="B273" s="750"/>
    </row>
    <row r="274" spans="2:2" ht="15.75" customHeight="1" x14ac:dyDescent="0.35">
      <c r="B274" s="750"/>
    </row>
    <row r="275" spans="2:2" ht="15.75" customHeight="1" x14ac:dyDescent="0.35">
      <c r="B275" s="750"/>
    </row>
    <row r="276" spans="2:2" ht="15.75" customHeight="1" x14ac:dyDescent="0.35">
      <c r="B276" s="750"/>
    </row>
    <row r="277" spans="2:2" ht="15.75" customHeight="1" x14ac:dyDescent="0.35">
      <c r="B277" s="750"/>
    </row>
    <row r="278" spans="2:2" ht="15.75" customHeight="1" x14ac:dyDescent="0.35">
      <c r="B278" s="750"/>
    </row>
    <row r="279" spans="2:2" ht="15.75" customHeight="1" x14ac:dyDescent="0.35">
      <c r="B279" s="750"/>
    </row>
    <row r="280" spans="2:2" ht="15.75" customHeight="1" x14ac:dyDescent="0.35">
      <c r="B280" s="750"/>
    </row>
    <row r="281" spans="2:2" ht="15.75" customHeight="1" x14ac:dyDescent="0.35">
      <c r="B281" s="750"/>
    </row>
    <row r="282" spans="2:2" ht="15.75" customHeight="1" x14ac:dyDescent="0.35">
      <c r="B282" s="750"/>
    </row>
    <row r="283" spans="2:2" ht="15.75" customHeight="1" x14ac:dyDescent="0.35">
      <c r="B283" s="750"/>
    </row>
    <row r="284" spans="2:2" ht="15.75" customHeight="1" x14ac:dyDescent="0.35">
      <c r="B284" s="750"/>
    </row>
    <row r="285" spans="2:2" ht="15.75" customHeight="1" x14ac:dyDescent="0.35">
      <c r="B285" s="750"/>
    </row>
    <row r="286" spans="2:2" ht="15.75" customHeight="1" x14ac:dyDescent="0.35">
      <c r="B286" s="750"/>
    </row>
    <row r="287" spans="2:2" ht="15.75" customHeight="1" x14ac:dyDescent="0.35">
      <c r="B287" s="750"/>
    </row>
    <row r="288" spans="2:2" ht="15.75" customHeight="1" x14ac:dyDescent="0.35">
      <c r="B288" s="750"/>
    </row>
    <row r="289" spans="2:2" ht="15.75" customHeight="1" x14ac:dyDescent="0.35">
      <c r="B289" s="750"/>
    </row>
    <row r="290" spans="2:2" ht="15.75" customHeight="1" x14ac:dyDescent="0.35">
      <c r="B290" s="750"/>
    </row>
    <row r="291" spans="2:2" ht="15.75" customHeight="1" x14ac:dyDescent="0.35">
      <c r="B291" s="750"/>
    </row>
    <row r="292" spans="2:2" ht="15.75" customHeight="1" x14ac:dyDescent="0.35">
      <c r="B292" s="750"/>
    </row>
    <row r="293" spans="2:2" ht="15.75" customHeight="1" x14ac:dyDescent="0.35">
      <c r="B293" s="750"/>
    </row>
    <row r="294" spans="2:2" ht="15.75" customHeight="1" x14ac:dyDescent="0.35">
      <c r="B294" s="750"/>
    </row>
    <row r="295" spans="2:2" ht="15.75" customHeight="1" x14ac:dyDescent="0.35">
      <c r="B295" s="750"/>
    </row>
    <row r="296" spans="2:2" ht="15.75" customHeight="1" x14ac:dyDescent="0.35">
      <c r="B296" s="750"/>
    </row>
    <row r="297" spans="2:2" ht="15.75" customHeight="1" x14ac:dyDescent="0.35">
      <c r="B297" s="750"/>
    </row>
    <row r="298" spans="2:2" ht="15.75" customHeight="1" x14ac:dyDescent="0.35">
      <c r="B298" s="750"/>
    </row>
    <row r="299" spans="2:2" ht="15.75" customHeight="1" x14ac:dyDescent="0.35">
      <c r="B299" s="750"/>
    </row>
    <row r="300" spans="2:2" ht="15.75" customHeight="1" x14ac:dyDescent="0.35">
      <c r="B300" s="750"/>
    </row>
    <row r="301" spans="2:2" ht="15.75" customHeight="1" x14ac:dyDescent="0.35">
      <c r="B301" s="750"/>
    </row>
    <row r="302" spans="2:2" ht="15.75" customHeight="1" x14ac:dyDescent="0.35">
      <c r="B302" s="750"/>
    </row>
    <row r="303" spans="2:2" ht="15.75" customHeight="1" x14ac:dyDescent="0.35">
      <c r="B303" s="750"/>
    </row>
    <row r="304" spans="2:2" ht="15.75" customHeight="1" x14ac:dyDescent="0.35">
      <c r="B304" s="750"/>
    </row>
    <row r="305" spans="2:2" ht="15.75" customHeight="1" x14ac:dyDescent="0.35">
      <c r="B305" s="750"/>
    </row>
    <row r="306" spans="2:2" ht="15.75" customHeight="1" x14ac:dyDescent="0.35">
      <c r="B306" s="750"/>
    </row>
    <row r="307" spans="2:2" ht="15.75" customHeight="1" x14ac:dyDescent="0.35">
      <c r="B307" s="750"/>
    </row>
    <row r="308" spans="2:2" ht="15.75" customHeight="1" x14ac:dyDescent="0.35">
      <c r="B308" s="750"/>
    </row>
    <row r="309" spans="2:2" ht="15.75" customHeight="1" x14ac:dyDescent="0.35">
      <c r="B309" s="750"/>
    </row>
    <row r="310" spans="2:2" ht="15.75" customHeight="1" x14ac:dyDescent="0.35">
      <c r="B310" s="750"/>
    </row>
    <row r="311" spans="2:2" ht="15.75" customHeight="1" x14ac:dyDescent="0.35">
      <c r="B311" s="750"/>
    </row>
    <row r="312" spans="2:2" ht="15.75" customHeight="1" x14ac:dyDescent="0.35">
      <c r="B312" s="750"/>
    </row>
    <row r="313" spans="2:2" ht="15.75" customHeight="1" x14ac:dyDescent="0.35">
      <c r="B313" s="750"/>
    </row>
    <row r="314" spans="2:2" ht="15.75" customHeight="1" x14ac:dyDescent="0.35">
      <c r="B314" s="750"/>
    </row>
    <row r="315" spans="2:2" ht="15.75" customHeight="1" x14ac:dyDescent="0.35">
      <c r="B315" s="750"/>
    </row>
    <row r="316" spans="2:2" ht="15.75" customHeight="1" x14ac:dyDescent="0.35">
      <c r="B316" s="750"/>
    </row>
    <row r="317" spans="2:2" ht="15.75" customHeight="1" x14ac:dyDescent="0.35">
      <c r="B317" s="750"/>
    </row>
    <row r="318" spans="2:2" ht="15.75" customHeight="1" x14ac:dyDescent="0.35">
      <c r="B318" s="750"/>
    </row>
    <row r="319" spans="2:2" ht="15.75" customHeight="1" x14ac:dyDescent="0.35">
      <c r="B319" s="750"/>
    </row>
    <row r="320" spans="2:2" ht="15.75" customHeight="1" x14ac:dyDescent="0.35">
      <c r="B320" s="750"/>
    </row>
    <row r="321" spans="2:2" ht="15.75" customHeight="1" x14ac:dyDescent="0.35">
      <c r="B321" s="750"/>
    </row>
    <row r="322" spans="2:2" ht="15.75" customHeight="1" x14ac:dyDescent="0.35">
      <c r="B322" s="750"/>
    </row>
    <row r="323" spans="2:2" ht="15.75" customHeight="1" x14ac:dyDescent="0.35">
      <c r="B323" s="750"/>
    </row>
    <row r="324" spans="2:2" ht="15.75" customHeight="1" x14ac:dyDescent="0.35">
      <c r="B324" s="750"/>
    </row>
    <row r="325" spans="2:2" ht="15.75" customHeight="1" x14ac:dyDescent="0.35">
      <c r="B325" s="750"/>
    </row>
    <row r="326" spans="2:2" ht="15.75" customHeight="1" x14ac:dyDescent="0.35">
      <c r="B326" s="750"/>
    </row>
    <row r="327" spans="2:2" ht="15.75" customHeight="1" x14ac:dyDescent="0.35">
      <c r="B327" s="750"/>
    </row>
    <row r="328" spans="2:2" ht="15.75" customHeight="1" x14ac:dyDescent="0.35">
      <c r="B328" s="750"/>
    </row>
    <row r="329" spans="2:2" ht="15.75" customHeight="1" x14ac:dyDescent="0.35">
      <c r="B329" s="750"/>
    </row>
    <row r="330" spans="2:2" ht="15.75" customHeight="1" x14ac:dyDescent="0.35">
      <c r="B330" s="750"/>
    </row>
    <row r="331" spans="2:2" ht="15.75" customHeight="1" x14ac:dyDescent="0.35">
      <c r="B331" s="750"/>
    </row>
    <row r="332" spans="2:2" ht="15.75" customHeight="1" x14ac:dyDescent="0.35">
      <c r="B332" s="750"/>
    </row>
    <row r="333" spans="2:2" ht="15.75" customHeight="1" x14ac:dyDescent="0.35">
      <c r="B333" s="750"/>
    </row>
    <row r="334" spans="2:2" ht="15.75" customHeight="1" x14ac:dyDescent="0.35">
      <c r="B334" s="750"/>
    </row>
    <row r="335" spans="2:2" ht="15.75" customHeight="1" x14ac:dyDescent="0.35">
      <c r="B335" s="750"/>
    </row>
    <row r="336" spans="2:2" ht="15.75" customHeight="1" x14ac:dyDescent="0.35">
      <c r="B336" s="750"/>
    </row>
    <row r="337" spans="2:2" ht="15.75" customHeight="1" x14ac:dyDescent="0.35">
      <c r="B337" s="750"/>
    </row>
    <row r="338" spans="2:2" ht="15.75" customHeight="1" x14ac:dyDescent="0.35">
      <c r="B338" s="750"/>
    </row>
    <row r="339" spans="2:2" ht="15.75" customHeight="1" x14ac:dyDescent="0.35">
      <c r="B339" s="750"/>
    </row>
    <row r="340" spans="2:2" ht="15.75" customHeight="1" x14ac:dyDescent="0.35">
      <c r="B340" s="750"/>
    </row>
    <row r="341" spans="2:2" ht="15.75" customHeight="1" x14ac:dyDescent="0.35">
      <c r="B341" s="750"/>
    </row>
    <row r="342" spans="2:2" ht="15.75" customHeight="1" x14ac:dyDescent="0.35">
      <c r="B342" s="750"/>
    </row>
    <row r="343" spans="2:2" ht="15.75" customHeight="1" x14ac:dyDescent="0.35">
      <c r="B343" s="750"/>
    </row>
    <row r="344" spans="2:2" ht="15.75" customHeight="1" x14ac:dyDescent="0.35">
      <c r="B344" s="750"/>
    </row>
    <row r="345" spans="2:2" ht="15.75" customHeight="1" x14ac:dyDescent="0.35">
      <c r="B345" s="750"/>
    </row>
    <row r="346" spans="2:2" ht="15.75" customHeight="1" x14ac:dyDescent="0.35">
      <c r="B346" s="750"/>
    </row>
    <row r="347" spans="2:2" ht="15.75" customHeight="1" x14ac:dyDescent="0.35">
      <c r="B347" s="750"/>
    </row>
    <row r="348" spans="2:2" ht="15.75" customHeight="1" x14ac:dyDescent="0.35">
      <c r="B348" s="750"/>
    </row>
    <row r="349" spans="2:2" ht="15.75" customHeight="1" x14ac:dyDescent="0.35">
      <c r="B349" s="750"/>
    </row>
    <row r="350" spans="2:2" ht="15.75" customHeight="1" x14ac:dyDescent="0.35">
      <c r="B350" s="750"/>
    </row>
    <row r="351" spans="2:2" ht="15.75" customHeight="1" x14ac:dyDescent="0.35">
      <c r="B351" s="750"/>
    </row>
    <row r="352" spans="2:2" ht="15.75" customHeight="1" x14ac:dyDescent="0.35">
      <c r="B352" s="750"/>
    </row>
    <row r="353" spans="2:2" ht="15.75" customHeight="1" x14ac:dyDescent="0.35">
      <c r="B353" s="750"/>
    </row>
    <row r="354" spans="2:2" ht="15.75" customHeight="1" x14ac:dyDescent="0.35">
      <c r="B354" s="750"/>
    </row>
    <row r="355" spans="2:2" ht="15.75" customHeight="1" x14ac:dyDescent="0.35">
      <c r="B355" s="750"/>
    </row>
    <row r="356" spans="2:2" ht="15.75" customHeight="1" x14ac:dyDescent="0.35">
      <c r="B356" s="750"/>
    </row>
    <row r="357" spans="2:2" ht="15.75" customHeight="1" x14ac:dyDescent="0.35">
      <c r="B357" s="750"/>
    </row>
    <row r="358" spans="2:2" ht="15.75" customHeight="1" x14ac:dyDescent="0.35">
      <c r="B358" s="750"/>
    </row>
    <row r="359" spans="2:2" ht="15.75" customHeight="1" x14ac:dyDescent="0.35">
      <c r="B359" s="750"/>
    </row>
    <row r="360" spans="2:2" ht="15.75" customHeight="1" x14ac:dyDescent="0.35">
      <c r="B360" s="750"/>
    </row>
    <row r="361" spans="2:2" ht="15.75" customHeight="1" x14ac:dyDescent="0.35">
      <c r="B361" s="750"/>
    </row>
    <row r="362" spans="2:2" ht="15.75" customHeight="1" x14ac:dyDescent="0.35">
      <c r="B362" s="750"/>
    </row>
    <row r="363" spans="2:2" ht="15.75" customHeight="1" x14ac:dyDescent="0.35">
      <c r="B363" s="750"/>
    </row>
    <row r="364" spans="2:2" ht="15.75" customHeight="1" x14ac:dyDescent="0.35">
      <c r="B364" s="750"/>
    </row>
    <row r="365" spans="2:2" ht="15.75" customHeight="1" x14ac:dyDescent="0.35">
      <c r="B365" s="750"/>
    </row>
    <row r="366" spans="2:2" ht="15.75" customHeight="1" x14ac:dyDescent="0.35">
      <c r="B366" s="750"/>
    </row>
    <row r="367" spans="2:2" ht="15.75" customHeight="1" x14ac:dyDescent="0.35">
      <c r="B367" s="750"/>
    </row>
    <row r="368" spans="2:2" ht="15.75" customHeight="1" x14ac:dyDescent="0.35">
      <c r="B368" s="750"/>
    </row>
    <row r="369" spans="2:2" ht="15.75" customHeight="1" x14ac:dyDescent="0.35">
      <c r="B369" s="750"/>
    </row>
    <row r="370" spans="2:2" ht="15.75" customHeight="1" x14ac:dyDescent="0.35">
      <c r="B370" s="750"/>
    </row>
    <row r="371" spans="2:2" ht="15.75" customHeight="1" x14ac:dyDescent="0.35">
      <c r="B371" s="750"/>
    </row>
    <row r="372" spans="2:2" ht="15.75" customHeight="1" x14ac:dyDescent="0.35">
      <c r="B372" s="750"/>
    </row>
    <row r="373" spans="2:2" ht="15.75" customHeight="1" x14ac:dyDescent="0.35">
      <c r="B373" s="750"/>
    </row>
    <row r="374" spans="2:2" ht="15.75" customHeight="1" x14ac:dyDescent="0.35">
      <c r="B374" s="750"/>
    </row>
    <row r="375" spans="2:2" ht="15.75" customHeight="1" x14ac:dyDescent="0.35">
      <c r="B375" s="750"/>
    </row>
    <row r="376" spans="2:2" ht="15.75" customHeight="1" x14ac:dyDescent="0.35">
      <c r="B376" s="750"/>
    </row>
    <row r="377" spans="2:2" ht="15.75" customHeight="1" x14ac:dyDescent="0.35">
      <c r="B377" s="750"/>
    </row>
    <row r="378" spans="2:2" ht="15.75" customHeight="1" x14ac:dyDescent="0.35">
      <c r="B378" s="750"/>
    </row>
    <row r="379" spans="2:2" ht="15.75" customHeight="1" x14ac:dyDescent="0.35">
      <c r="B379" s="750"/>
    </row>
    <row r="380" spans="2:2" ht="15.75" customHeight="1" x14ac:dyDescent="0.35">
      <c r="B380" s="750"/>
    </row>
    <row r="381" spans="2:2" ht="15.75" customHeight="1" x14ac:dyDescent="0.35">
      <c r="B381" s="750"/>
    </row>
    <row r="382" spans="2:2" ht="15.75" customHeight="1" x14ac:dyDescent="0.35">
      <c r="B382" s="750"/>
    </row>
    <row r="383" spans="2:2" ht="15.75" customHeight="1" x14ac:dyDescent="0.35">
      <c r="B383" s="750"/>
    </row>
    <row r="384" spans="2:2" ht="15.75" customHeight="1" x14ac:dyDescent="0.35">
      <c r="B384" s="750"/>
    </row>
    <row r="385" spans="2:2" ht="15.75" customHeight="1" x14ac:dyDescent="0.35">
      <c r="B385" s="750"/>
    </row>
    <row r="386" spans="2:2" ht="15.75" customHeight="1" x14ac:dyDescent="0.35">
      <c r="B386" s="750"/>
    </row>
    <row r="387" spans="2:2" ht="15.75" customHeight="1" x14ac:dyDescent="0.35">
      <c r="B387" s="750"/>
    </row>
    <row r="388" spans="2:2" ht="15.75" customHeight="1" x14ac:dyDescent="0.35">
      <c r="B388" s="750"/>
    </row>
    <row r="389" spans="2:2" ht="15.75" customHeight="1" x14ac:dyDescent="0.35">
      <c r="B389" s="750"/>
    </row>
    <row r="390" spans="2:2" ht="15.75" customHeight="1" x14ac:dyDescent="0.35">
      <c r="B390" s="750"/>
    </row>
    <row r="391" spans="2:2" ht="15.75" customHeight="1" x14ac:dyDescent="0.35">
      <c r="B391" s="750"/>
    </row>
    <row r="392" spans="2:2" ht="15.75" customHeight="1" x14ac:dyDescent="0.35">
      <c r="B392" s="750"/>
    </row>
    <row r="393" spans="2:2" ht="15.75" customHeight="1" x14ac:dyDescent="0.35">
      <c r="B393" s="750"/>
    </row>
    <row r="394" spans="2:2" ht="15.75" customHeight="1" x14ac:dyDescent="0.35">
      <c r="B394" s="750"/>
    </row>
    <row r="395" spans="2:2" ht="15.75" customHeight="1" x14ac:dyDescent="0.35">
      <c r="B395" s="750"/>
    </row>
    <row r="396" spans="2:2" ht="15.75" customHeight="1" x14ac:dyDescent="0.35">
      <c r="B396" s="750"/>
    </row>
    <row r="397" spans="2:2" ht="15.75" customHeight="1" x14ac:dyDescent="0.35">
      <c r="B397" s="750"/>
    </row>
    <row r="398" spans="2:2" ht="15.75" customHeight="1" x14ac:dyDescent="0.35">
      <c r="B398" s="750"/>
    </row>
    <row r="399" spans="2:2" ht="15.75" customHeight="1" x14ac:dyDescent="0.35">
      <c r="B399" s="750"/>
    </row>
    <row r="400" spans="2:2" ht="15.75" customHeight="1" x14ac:dyDescent="0.35">
      <c r="B400" s="750"/>
    </row>
    <row r="401" spans="2:2" ht="15.75" customHeight="1" x14ac:dyDescent="0.35">
      <c r="B401" s="750"/>
    </row>
    <row r="402" spans="2:2" ht="15.75" customHeight="1" x14ac:dyDescent="0.35">
      <c r="B402" s="750"/>
    </row>
    <row r="403" spans="2:2" ht="15.75" customHeight="1" x14ac:dyDescent="0.35">
      <c r="B403" s="750"/>
    </row>
    <row r="404" spans="2:2" ht="15.75" customHeight="1" x14ac:dyDescent="0.35">
      <c r="B404" s="750"/>
    </row>
    <row r="405" spans="2:2" ht="15.75" customHeight="1" x14ac:dyDescent="0.35">
      <c r="B405" s="750"/>
    </row>
    <row r="406" spans="2:2" ht="15.75" customHeight="1" x14ac:dyDescent="0.35">
      <c r="B406" s="750"/>
    </row>
    <row r="407" spans="2:2" ht="15.75" customHeight="1" x14ac:dyDescent="0.35">
      <c r="B407" s="750"/>
    </row>
    <row r="408" spans="2:2" ht="15.75" customHeight="1" x14ac:dyDescent="0.35">
      <c r="B408" s="750"/>
    </row>
    <row r="409" spans="2:2" ht="15.75" customHeight="1" x14ac:dyDescent="0.35">
      <c r="B409" s="750"/>
    </row>
    <row r="410" spans="2:2" ht="15.75" customHeight="1" x14ac:dyDescent="0.35">
      <c r="B410" s="750"/>
    </row>
    <row r="411" spans="2:2" ht="15.75" customHeight="1" x14ac:dyDescent="0.35">
      <c r="B411" s="750"/>
    </row>
    <row r="412" spans="2:2" ht="15.75" customHeight="1" x14ac:dyDescent="0.35">
      <c r="B412" s="750"/>
    </row>
    <row r="413" spans="2:2" ht="15.75" customHeight="1" x14ac:dyDescent="0.35">
      <c r="B413" s="750"/>
    </row>
    <row r="414" spans="2:2" ht="15.75" customHeight="1" x14ac:dyDescent="0.35">
      <c r="B414" s="750"/>
    </row>
    <row r="415" spans="2:2" ht="15.75" customHeight="1" x14ac:dyDescent="0.35">
      <c r="B415" s="750"/>
    </row>
    <row r="416" spans="2:2" ht="15.75" customHeight="1" x14ac:dyDescent="0.35">
      <c r="B416" s="750"/>
    </row>
    <row r="417" spans="2:2" ht="15.75" customHeight="1" x14ac:dyDescent="0.35">
      <c r="B417" s="750"/>
    </row>
    <row r="418" spans="2:2" ht="15.75" customHeight="1" x14ac:dyDescent="0.35">
      <c r="B418" s="750"/>
    </row>
    <row r="419" spans="2:2" ht="15.75" customHeight="1" x14ac:dyDescent="0.35">
      <c r="B419" s="750"/>
    </row>
    <row r="420" spans="2:2" ht="15.75" customHeight="1" x14ac:dyDescent="0.35">
      <c r="B420" s="750"/>
    </row>
    <row r="421" spans="2:2" ht="15.75" customHeight="1" x14ac:dyDescent="0.35">
      <c r="B421" s="750"/>
    </row>
    <row r="422" spans="2:2" ht="15.75" customHeight="1" x14ac:dyDescent="0.35">
      <c r="B422" s="750"/>
    </row>
    <row r="423" spans="2:2" ht="15.75" customHeight="1" x14ac:dyDescent="0.35">
      <c r="B423" s="750"/>
    </row>
    <row r="424" spans="2:2" ht="15.75" customHeight="1" x14ac:dyDescent="0.35">
      <c r="B424" s="750"/>
    </row>
    <row r="425" spans="2:2" ht="15.75" customHeight="1" x14ac:dyDescent="0.35">
      <c r="B425" s="750"/>
    </row>
    <row r="426" spans="2:2" ht="15.75" customHeight="1" x14ac:dyDescent="0.35">
      <c r="B426" s="750"/>
    </row>
    <row r="427" spans="2:2" ht="15.75" customHeight="1" x14ac:dyDescent="0.35">
      <c r="B427" s="750"/>
    </row>
    <row r="428" spans="2:2" ht="15.75" customHeight="1" x14ac:dyDescent="0.35">
      <c r="B428" s="750"/>
    </row>
    <row r="429" spans="2:2" ht="15.75" customHeight="1" x14ac:dyDescent="0.35">
      <c r="B429" s="750"/>
    </row>
    <row r="430" spans="2:2" ht="15.75" customHeight="1" x14ac:dyDescent="0.35">
      <c r="B430" s="750"/>
    </row>
    <row r="431" spans="2:2" ht="15.75" customHeight="1" x14ac:dyDescent="0.35">
      <c r="B431" s="750"/>
    </row>
    <row r="432" spans="2:2" ht="15.75" customHeight="1" x14ac:dyDescent="0.35">
      <c r="B432" s="750"/>
    </row>
    <row r="433" spans="2:2" ht="15.75" customHeight="1" x14ac:dyDescent="0.35">
      <c r="B433" s="750"/>
    </row>
    <row r="434" spans="2:2" ht="15.75" customHeight="1" x14ac:dyDescent="0.35">
      <c r="B434" s="750"/>
    </row>
    <row r="435" spans="2:2" ht="15.75" customHeight="1" x14ac:dyDescent="0.35">
      <c r="B435" s="750"/>
    </row>
    <row r="436" spans="2:2" ht="15.75" customHeight="1" x14ac:dyDescent="0.35">
      <c r="B436" s="750"/>
    </row>
    <row r="437" spans="2:2" ht="15.75" customHeight="1" x14ac:dyDescent="0.35">
      <c r="B437" s="750"/>
    </row>
    <row r="438" spans="2:2" ht="15.75" customHeight="1" x14ac:dyDescent="0.35">
      <c r="B438" s="750"/>
    </row>
    <row r="439" spans="2:2" ht="15.75" customHeight="1" x14ac:dyDescent="0.35">
      <c r="B439" s="750"/>
    </row>
    <row r="440" spans="2:2" ht="15.75" customHeight="1" x14ac:dyDescent="0.35">
      <c r="B440" s="750"/>
    </row>
    <row r="441" spans="2:2" ht="15.75" customHeight="1" x14ac:dyDescent="0.35">
      <c r="B441" s="750"/>
    </row>
    <row r="442" spans="2:2" ht="15.75" customHeight="1" x14ac:dyDescent="0.35">
      <c r="B442" s="750"/>
    </row>
    <row r="443" spans="2:2" ht="15.75" customHeight="1" x14ac:dyDescent="0.35">
      <c r="B443" s="750"/>
    </row>
    <row r="444" spans="2:2" ht="15.75" customHeight="1" x14ac:dyDescent="0.35">
      <c r="B444" s="750"/>
    </row>
    <row r="445" spans="2:2" ht="15.75" customHeight="1" x14ac:dyDescent="0.35">
      <c r="B445" s="750"/>
    </row>
    <row r="446" spans="2:2" ht="15.75" customHeight="1" x14ac:dyDescent="0.35">
      <c r="B446" s="750"/>
    </row>
    <row r="447" spans="2:2" ht="15.75" customHeight="1" x14ac:dyDescent="0.35">
      <c r="B447" s="750"/>
    </row>
    <row r="448" spans="2:2" ht="15.75" customHeight="1" x14ac:dyDescent="0.35">
      <c r="B448" s="750"/>
    </row>
    <row r="449" spans="2:2" ht="15.75" customHeight="1" x14ac:dyDescent="0.35">
      <c r="B449" s="750"/>
    </row>
    <row r="450" spans="2:2" ht="15.75" customHeight="1" x14ac:dyDescent="0.35">
      <c r="B450" s="750"/>
    </row>
    <row r="451" spans="2:2" ht="15.75" customHeight="1" x14ac:dyDescent="0.35">
      <c r="B451" s="750"/>
    </row>
    <row r="452" spans="2:2" ht="15.75" customHeight="1" x14ac:dyDescent="0.35">
      <c r="B452" s="750"/>
    </row>
    <row r="453" spans="2:2" ht="15.75" customHeight="1" x14ac:dyDescent="0.35">
      <c r="B453" s="750"/>
    </row>
    <row r="454" spans="2:2" ht="15.75" customHeight="1" x14ac:dyDescent="0.35">
      <c r="B454" s="750"/>
    </row>
    <row r="455" spans="2:2" ht="15.75" customHeight="1" x14ac:dyDescent="0.35">
      <c r="B455" s="750"/>
    </row>
    <row r="456" spans="2:2" ht="15.75" customHeight="1" x14ac:dyDescent="0.35">
      <c r="B456" s="750"/>
    </row>
    <row r="457" spans="2:2" ht="15.75" customHeight="1" x14ac:dyDescent="0.35">
      <c r="B457" s="750"/>
    </row>
    <row r="458" spans="2:2" ht="15.75" customHeight="1" x14ac:dyDescent="0.35">
      <c r="B458" s="750"/>
    </row>
    <row r="459" spans="2:2" ht="15.75" customHeight="1" x14ac:dyDescent="0.35">
      <c r="B459" s="750"/>
    </row>
    <row r="460" spans="2:2" ht="15.75" customHeight="1" x14ac:dyDescent="0.35">
      <c r="B460" s="750"/>
    </row>
    <row r="461" spans="2:2" ht="15.75" customHeight="1" x14ac:dyDescent="0.35">
      <c r="B461" s="750"/>
    </row>
    <row r="462" spans="2:2" ht="15.75" customHeight="1" x14ac:dyDescent="0.35">
      <c r="B462" s="750"/>
    </row>
    <row r="463" spans="2:2" ht="15.75" customHeight="1" x14ac:dyDescent="0.35">
      <c r="B463" s="750"/>
    </row>
    <row r="464" spans="2:2" ht="15.75" customHeight="1" x14ac:dyDescent="0.35">
      <c r="B464" s="750"/>
    </row>
    <row r="465" spans="2:2" ht="15.75" customHeight="1" x14ac:dyDescent="0.35">
      <c r="B465" s="750"/>
    </row>
    <row r="466" spans="2:2" ht="15.75" customHeight="1" x14ac:dyDescent="0.35">
      <c r="B466" s="750"/>
    </row>
    <row r="467" spans="2:2" ht="15.75" customHeight="1" x14ac:dyDescent="0.35">
      <c r="B467" s="750"/>
    </row>
    <row r="468" spans="2:2" ht="15.75" customHeight="1" x14ac:dyDescent="0.35">
      <c r="B468" s="750"/>
    </row>
    <row r="469" spans="2:2" ht="15.75" customHeight="1" x14ac:dyDescent="0.35">
      <c r="B469" s="750"/>
    </row>
    <row r="470" spans="2:2" ht="15.75" customHeight="1" x14ac:dyDescent="0.35">
      <c r="B470" s="750"/>
    </row>
    <row r="471" spans="2:2" ht="15.75" customHeight="1" x14ac:dyDescent="0.35">
      <c r="B471" s="750"/>
    </row>
    <row r="472" spans="2:2" ht="15.75" customHeight="1" x14ac:dyDescent="0.35">
      <c r="B472" s="750"/>
    </row>
    <row r="473" spans="2:2" ht="15.75" customHeight="1" x14ac:dyDescent="0.35">
      <c r="B473" s="750"/>
    </row>
    <row r="474" spans="2:2" ht="15.75" customHeight="1" x14ac:dyDescent="0.35">
      <c r="B474" s="750"/>
    </row>
    <row r="475" spans="2:2" ht="15.75" customHeight="1" x14ac:dyDescent="0.35">
      <c r="B475" s="750"/>
    </row>
    <row r="476" spans="2:2" ht="15.75" customHeight="1" x14ac:dyDescent="0.35">
      <c r="B476" s="750"/>
    </row>
    <row r="477" spans="2:2" ht="15.75" customHeight="1" x14ac:dyDescent="0.35">
      <c r="B477" s="750"/>
    </row>
    <row r="478" spans="2:2" ht="15.75" customHeight="1" x14ac:dyDescent="0.35">
      <c r="B478" s="750"/>
    </row>
    <row r="479" spans="2:2" ht="15.75" customHeight="1" x14ac:dyDescent="0.35">
      <c r="B479" s="750"/>
    </row>
    <row r="480" spans="2:2" ht="15.75" customHeight="1" x14ac:dyDescent="0.35">
      <c r="B480" s="750"/>
    </row>
    <row r="481" spans="2:2" ht="15.75" customHeight="1" x14ac:dyDescent="0.35">
      <c r="B481" s="750"/>
    </row>
    <row r="482" spans="2:2" ht="15.75" customHeight="1" x14ac:dyDescent="0.35">
      <c r="B482" s="750"/>
    </row>
    <row r="483" spans="2:2" ht="15.75" customHeight="1" x14ac:dyDescent="0.35">
      <c r="B483" s="750"/>
    </row>
    <row r="484" spans="2:2" ht="15.75" customHeight="1" x14ac:dyDescent="0.35">
      <c r="B484" s="750"/>
    </row>
    <row r="485" spans="2:2" ht="15.75" customHeight="1" x14ac:dyDescent="0.35">
      <c r="B485" s="750"/>
    </row>
    <row r="486" spans="2:2" ht="15.75" customHeight="1" x14ac:dyDescent="0.35">
      <c r="B486" s="750"/>
    </row>
    <row r="487" spans="2:2" ht="15.75" customHeight="1" x14ac:dyDescent="0.35">
      <c r="B487" s="750"/>
    </row>
    <row r="488" spans="2:2" ht="15.75" customHeight="1" x14ac:dyDescent="0.35">
      <c r="B488" s="750"/>
    </row>
    <row r="489" spans="2:2" ht="15.75" customHeight="1" x14ac:dyDescent="0.35">
      <c r="B489" s="750"/>
    </row>
    <row r="490" spans="2:2" ht="15.75" customHeight="1" x14ac:dyDescent="0.35">
      <c r="B490" s="750"/>
    </row>
    <row r="491" spans="2:2" ht="15.75" customHeight="1" x14ac:dyDescent="0.35">
      <c r="B491" s="750"/>
    </row>
    <row r="492" spans="2:2" ht="15.75" customHeight="1" x14ac:dyDescent="0.35">
      <c r="B492" s="750"/>
    </row>
    <row r="493" spans="2:2" ht="15.75" customHeight="1" x14ac:dyDescent="0.35">
      <c r="B493" s="750"/>
    </row>
    <row r="494" spans="2:2" ht="15.75" customHeight="1" x14ac:dyDescent="0.35">
      <c r="B494" s="750"/>
    </row>
    <row r="495" spans="2:2" ht="15.75" customHeight="1" x14ac:dyDescent="0.35">
      <c r="B495" s="750"/>
    </row>
    <row r="496" spans="2:2" ht="15.75" customHeight="1" x14ac:dyDescent="0.35">
      <c r="B496" s="750"/>
    </row>
    <row r="497" spans="2:2" ht="15.75" customHeight="1" x14ac:dyDescent="0.35">
      <c r="B497" s="750"/>
    </row>
    <row r="498" spans="2:2" ht="15.75" customHeight="1" x14ac:dyDescent="0.35">
      <c r="B498" s="750"/>
    </row>
    <row r="499" spans="2:2" ht="15.75" customHeight="1" x14ac:dyDescent="0.35">
      <c r="B499" s="750"/>
    </row>
    <row r="500" spans="2:2" ht="15.75" customHeight="1" x14ac:dyDescent="0.35">
      <c r="B500" s="750"/>
    </row>
    <row r="501" spans="2:2" ht="15.75" customHeight="1" x14ac:dyDescent="0.35">
      <c r="B501" s="750"/>
    </row>
    <row r="502" spans="2:2" ht="15.75" customHeight="1" x14ac:dyDescent="0.35">
      <c r="B502" s="750"/>
    </row>
    <row r="503" spans="2:2" ht="15.75" customHeight="1" x14ac:dyDescent="0.35">
      <c r="B503" s="750"/>
    </row>
    <row r="504" spans="2:2" ht="15.75" customHeight="1" x14ac:dyDescent="0.35">
      <c r="B504" s="750"/>
    </row>
    <row r="505" spans="2:2" ht="15.75" customHeight="1" x14ac:dyDescent="0.35">
      <c r="B505" s="750"/>
    </row>
    <row r="506" spans="2:2" ht="15.75" customHeight="1" x14ac:dyDescent="0.35">
      <c r="B506" s="750"/>
    </row>
    <row r="507" spans="2:2" ht="15.75" customHeight="1" x14ac:dyDescent="0.35">
      <c r="B507" s="750"/>
    </row>
    <row r="508" spans="2:2" ht="15.75" customHeight="1" x14ac:dyDescent="0.35">
      <c r="B508" s="750"/>
    </row>
    <row r="509" spans="2:2" ht="15.75" customHeight="1" x14ac:dyDescent="0.35">
      <c r="B509" s="750"/>
    </row>
    <row r="510" spans="2:2" ht="15.75" customHeight="1" x14ac:dyDescent="0.35">
      <c r="B510" s="750"/>
    </row>
    <row r="511" spans="2:2" ht="15.75" customHeight="1" x14ac:dyDescent="0.35">
      <c r="B511" s="750"/>
    </row>
    <row r="512" spans="2:2" ht="15.75" customHeight="1" x14ac:dyDescent="0.35">
      <c r="B512" s="750"/>
    </row>
    <row r="513" spans="2:2" ht="15.75" customHeight="1" x14ac:dyDescent="0.35">
      <c r="B513" s="750"/>
    </row>
    <row r="514" spans="2:2" ht="15.75" customHeight="1" x14ac:dyDescent="0.35">
      <c r="B514" s="750"/>
    </row>
    <row r="515" spans="2:2" ht="15.75" customHeight="1" x14ac:dyDescent="0.35">
      <c r="B515" s="750"/>
    </row>
    <row r="516" spans="2:2" ht="15.75" customHeight="1" x14ac:dyDescent="0.35">
      <c r="B516" s="750"/>
    </row>
    <row r="517" spans="2:2" ht="15.75" customHeight="1" x14ac:dyDescent="0.35">
      <c r="B517" s="750"/>
    </row>
    <row r="518" spans="2:2" ht="15.75" customHeight="1" x14ac:dyDescent="0.35">
      <c r="B518" s="750"/>
    </row>
    <row r="519" spans="2:2" ht="15.75" customHeight="1" x14ac:dyDescent="0.35">
      <c r="B519" s="750"/>
    </row>
    <row r="520" spans="2:2" ht="15.75" customHeight="1" x14ac:dyDescent="0.35">
      <c r="B520" s="750"/>
    </row>
    <row r="521" spans="2:2" ht="15.75" customHeight="1" x14ac:dyDescent="0.35">
      <c r="B521" s="750"/>
    </row>
    <row r="522" spans="2:2" ht="15.75" customHeight="1" x14ac:dyDescent="0.35">
      <c r="B522" s="750"/>
    </row>
    <row r="523" spans="2:2" ht="15.75" customHeight="1" x14ac:dyDescent="0.35">
      <c r="B523" s="750"/>
    </row>
    <row r="524" spans="2:2" ht="15.75" customHeight="1" x14ac:dyDescent="0.35">
      <c r="B524" s="750"/>
    </row>
    <row r="525" spans="2:2" ht="15.75" customHeight="1" x14ac:dyDescent="0.35">
      <c r="B525" s="750"/>
    </row>
    <row r="526" spans="2:2" ht="15.75" customHeight="1" x14ac:dyDescent="0.35">
      <c r="B526" s="750"/>
    </row>
    <row r="527" spans="2:2" ht="15.75" customHeight="1" x14ac:dyDescent="0.35">
      <c r="B527" s="750"/>
    </row>
    <row r="528" spans="2:2" ht="15.75" customHeight="1" x14ac:dyDescent="0.35">
      <c r="B528" s="750"/>
    </row>
    <row r="529" spans="2:2" ht="15.75" customHeight="1" x14ac:dyDescent="0.35">
      <c r="B529" s="750"/>
    </row>
    <row r="530" spans="2:2" ht="15.75" customHeight="1" x14ac:dyDescent="0.35">
      <c r="B530" s="750"/>
    </row>
    <row r="531" spans="2:2" ht="15.75" customHeight="1" x14ac:dyDescent="0.35">
      <c r="B531" s="750"/>
    </row>
    <row r="532" spans="2:2" ht="15.75" customHeight="1" x14ac:dyDescent="0.35">
      <c r="B532" s="750"/>
    </row>
    <row r="533" spans="2:2" ht="15.75" customHeight="1" x14ac:dyDescent="0.35">
      <c r="B533" s="750"/>
    </row>
    <row r="534" spans="2:2" ht="15.75" customHeight="1" x14ac:dyDescent="0.35">
      <c r="B534" s="750"/>
    </row>
    <row r="535" spans="2:2" ht="15.75" customHeight="1" x14ac:dyDescent="0.35">
      <c r="B535" s="750"/>
    </row>
    <row r="536" spans="2:2" ht="15.75" customHeight="1" x14ac:dyDescent="0.35">
      <c r="B536" s="750"/>
    </row>
    <row r="537" spans="2:2" ht="15.75" customHeight="1" x14ac:dyDescent="0.35">
      <c r="B537" s="750"/>
    </row>
    <row r="538" spans="2:2" ht="15.75" customHeight="1" x14ac:dyDescent="0.35">
      <c r="B538" s="750"/>
    </row>
    <row r="539" spans="2:2" ht="15.75" customHeight="1" x14ac:dyDescent="0.35">
      <c r="B539" s="750"/>
    </row>
    <row r="540" spans="2:2" ht="15.75" customHeight="1" x14ac:dyDescent="0.35">
      <c r="B540" s="750"/>
    </row>
    <row r="541" spans="2:2" ht="15.75" customHeight="1" x14ac:dyDescent="0.35">
      <c r="B541" s="750"/>
    </row>
    <row r="542" spans="2:2" ht="15.75" customHeight="1" x14ac:dyDescent="0.35">
      <c r="B542" s="750"/>
    </row>
    <row r="543" spans="2:2" ht="15.75" customHeight="1" x14ac:dyDescent="0.35">
      <c r="B543" s="750"/>
    </row>
    <row r="544" spans="2:2" ht="15.75" customHeight="1" x14ac:dyDescent="0.35">
      <c r="B544" s="750"/>
    </row>
    <row r="545" spans="2:2" ht="15.75" customHeight="1" x14ac:dyDescent="0.35">
      <c r="B545" s="750"/>
    </row>
    <row r="546" spans="2:2" ht="15.75" customHeight="1" x14ac:dyDescent="0.35">
      <c r="B546" s="750"/>
    </row>
    <row r="547" spans="2:2" ht="15.75" customHeight="1" x14ac:dyDescent="0.35">
      <c r="B547" s="750"/>
    </row>
    <row r="548" spans="2:2" ht="15.75" customHeight="1" x14ac:dyDescent="0.35">
      <c r="B548" s="750"/>
    </row>
    <row r="549" spans="2:2" ht="15.75" customHeight="1" x14ac:dyDescent="0.35">
      <c r="B549" s="750"/>
    </row>
    <row r="550" spans="2:2" ht="15.75" customHeight="1" x14ac:dyDescent="0.35">
      <c r="B550" s="750"/>
    </row>
    <row r="551" spans="2:2" ht="15.75" customHeight="1" x14ac:dyDescent="0.35">
      <c r="B551" s="750"/>
    </row>
    <row r="552" spans="2:2" ht="15.75" customHeight="1" x14ac:dyDescent="0.35">
      <c r="B552" s="750"/>
    </row>
    <row r="553" spans="2:2" ht="15.75" customHeight="1" x14ac:dyDescent="0.35">
      <c r="B553" s="750"/>
    </row>
    <row r="554" spans="2:2" ht="15.75" customHeight="1" x14ac:dyDescent="0.35">
      <c r="B554" s="750"/>
    </row>
    <row r="555" spans="2:2" ht="15.75" customHeight="1" x14ac:dyDescent="0.35">
      <c r="B555" s="750"/>
    </row>
    <row r="556" spans="2:2" ht="15.75" customHeight="1" x14ac:dyDescent="0.35">
      <c r="B556" s="750"/>
    </row>
    <row r="557" spans="2:2" ht="15.75" customHeight="1" x14ac:dyDescent="0.35">
      <c r="B557" s="750"/>
    </row>
    <row r="558" spans="2:2" ht="15.75" customHeight="1" x14ac:dyDescent="0.35">
      <c r="B558" s="750"/>
    </row>
    <row r="559" spans="2:2" ht="15.75" customHeight="1" x14ac:dyDescent="0.35">
      <c r="B559" s="750"/>
    </row>
    <row r="560" spans="2:2" ht="15.75" customHeight="1" x14ac:dyDescent="0.35">
      <c r="B560" s="750"/>
    </row>
    <row r="561" spans="2:2" ht="15.75" customHeight="1" x14ac:dyDescent="0.35">
      <c r="B561" s="750"/>
    </row>
    <row r="562" spans="2:2" ht="15.75" customHeight="1" x14ac:dyDescent="0.35">
      <c r="B562" s="750"/>
    </row>
    <row r="563" spans="2:2" ht="15.75" customHeight="1" x14ac:dyDescent="0.35">
      <c r="B563" s="750"/>
    </row>
    <row r="564" spans="2:2" ht="15.75" customHeight="1" x14ac:dyDescent="0.35">
      <c r="B564" s="750"/>
    </row>
    <row r="565" spans="2:2" ht="15.75" customHeight="1" x14ac:dyDescent="0.35">
      <c r="B565" s="750"/>
    </row>
    <row r="566" spans="2:2" ht="15.75" customHeight="1" x14ac:dyDescent="0.35">
      <c r="B566" s="750"/>
    </row>
    <row r="567" spans="2:2" ht="15.75" customHeight="1" x14ac:dyDescent="0.35">
      <c r="B567" s="750"/>
    </row>
    <row r="568" spans="2:2" ht="15.75" customHeight="1" x14ac:dyDescent="0.35">
      <c r="B568" s="750"/>
    </row>
    <row r="569" spans="2:2" ht="15.75" customHeight="1" x14ac:dyDescent="0.35">
      <c r="B569" s="750"/>
    </row>
    <row r="570" spans="2:2" ht="15.75" customHeight="1" x14ac:dyDescent="0.35">
      <c r="B570" s="750"/>
    </row>
    <row r="571" spans="2:2" ht="15.75" customHeight="1" x14ac:dyDescent="0.35">
      <c r="B571" s="750"/>
    </row>
    <row r="572" spans="2:2" ht="15.75" customHeight="1" x14ac:dyDescent="0.35">
      <c r="B572" s="750"/>
    </row>
    <row r="573" spans="2:2" ht="15.75" customHeight="1" x14ac:dyDescent="0.35">
      <c r="B573" s="750"/>
    </row>
    <row r="574" spans="2:2" ht="15.75" customHeight="1" x14ac:dyDescent="0.35">
      <c r="B574" s="750"/>
    </row>
    <row r="575" spans="2:2" ht="15.75" customHeight="1" x14ac:dyDescent="0.35">
      <c r="B575" s="750"/>
    </row>
    <row r="576" spans="2:2" ht="15.75" customHeight="1" x14ac:dyDescent="0.35">
      <c r="B576" s="750"/>
    </row>
    <row r="577" spans="2:2" ht="15.75" customHeight="1" x14ac:dyDescent="0.35">
      <c r="B577" s="750"/>
    </row>
    <row r="578" spans="2:2" ht="15.75" customHeight="1" x14ac:dyDescent="0.35">
      <c r="B578" s="750"/>
    </row>
    <row r="579" spans="2:2" ht="15.75" customHeight="1" x14ac:dyDescent="0.35">
      <c r="B579" s="750"/>
    </row>
    <row r="580" spans="2:2" ht="15.75" customHeight="1" x14ac:dyDescent="0.35">
      <c r="B580" s="750"/>
    </row>
    <row r="581" spans="2:2" ht="15.75" customHeight="1" x14ac:dyDescent="0.35">
      <c r="B581" s="750"/>
    </row>
    <row r="582" spans="2:2" ht="15.75" customHeight="1" x14ac:dyDescent="0.35">
      <c r="B582" s="750"/>
    </row>
    <row r="583" spans="2:2" ht="15.75" customHeight="1" x14ac:dyDescent="0.35">
      <c r="B583" s="750"/>
    </row>
    <row r="584" spans="2:2" ht="15.75" customHeight="1" x14ac:dyDescent="0.35">
      <c r="B584" s="750"/>
    </row>
    <row r="585" spans="2:2" ht="15.75" customHeight="1" x14ac:dyDescent="0.35">
      <c r="B585" s="750"/>
    </row>
    <row r="586" spans="2:2" ht="15.75" customHeight="1" x14ac:dyDescent="0.35">
      <c r="B586" s="750"/>
    </row>
    <row r="587" spans="2:2" ht="15.75" customHeight="1" x14ac:dyDescent="0.35">
      <c r="B587" s="750"/>
    </row>
    <row r="588" spans="2:2" ht="15.75" customHeight="1" x14ac:dyDescent="0.35">
      <c r="B588" s="750"/>
    </row>
    <row r="589" spans="2:2" ht="15.75" customHeight="1" x14ac:dyDescent="0.35">
      <c r="B589" s="750"/>
    </row>
    <row r="590" spans="2:2" ht="15.75" customHeight="1" x14ac:dyDescent="0.35">
      <c r="B590" s="750"/>
    </row>
    <row r="591" spans="2:2" ht="15.75" customHeight="1" x14ac:dyDescent="0.35">
      <c r="B591" s="750"/>
    </row>
    <row r="592" spans="2:2" ht="15.75" customHeight="1" x14ac:dyDescent="0.35">
      <c r="B592" s="750"/>
    </row>
    <row r="593" spans="2:2" ht="15.75" customHeight="1" x14ac:dyDescent="0.35">
      <c r="B593" s="750"/>
    </row>
    <row r="594" spans="2:2" ht="15.75" customHeight="1" x14ac:dyDescent="0.35">
      <c r="B594" s="750"/>
    </row>
    <row r="595" spans="2:2" ht="15.75" customHeight="1" x14ac:dyDescent="0.35">
      <c r="B595" s="750"/>
    </row>
    <row r="596" spans="2:2" ht="15.75" customHeight="1" x14ac:dyDescent="0.35">
      <c r="B596" s="750"/>
    </row>
    <row r="597" spans="2:2" ht="15.75" customHeight="1" x14ac:dyDescent="0.35">
      <c r="B597" s="750"/>
    </row>
    <row r="598" spans="2:2" ht="15.75" customHeight="1" x14ac:dyDescent="0.35">
      <c r="B598" s="750"/>
    </row>
    <row r="599" spans="2:2" ht="15.75" customHeight="1" x14ac:dyDescent="0.35">
      <c r="B599" s="750"/>
    </row>
    <row r="600" spans="2:2" ht="15.75" customHeight="1" x14ac:dyDescent="0.35">
      <c r="B600" s="750"/>
    </row>
    <row r="601" spans="2:2" ht="15.75" customHeight="1" x14ac:dyDescent="0.35">
      <c r="B601" s="750"/>
    </row>
    <row r="602" spans="2:2" ht="15.75" customHeight="1" x14ac:dyDescent="0.35">
      <c r="B602" s="750"/>
    </row>
    <row r="603" spans="2:2" ht="15.75" customHeight="1" x14ac:dyDescent="0.35">
      <c r="B603" s="750"/>
    </row>
    <row r="604" spans="2:2" ht="15.75" customHeight="1" x14ac:dyDescent="0.35">
      <c r="B604" s="750"/>
    </row>
    <row r="605" spans="2:2" ht="15.75" customHeight="1" x14ac:dyDescent="0.35">
      <c r="B605" s="750"/>
    </row>
    <row r="606" spans="2:2" ht="15.75" customHeight="1" x14ac:dyDescent="0.35">
      <c r="B606" s="750"/>
    </row>
    <row r="607" spans="2:2" ht="15.75" customHeight="1" x14ac:dyDescent="0.35">
      <c r="B607" s="750"/>
    </row>
    <row r="608" spans="2:2" ht="15.75" customHeight="1" x14ac:dyDescent="0.35">
      <c r="B608" s="750"/>
    </row>
    <row r="609" spans="2:2" ht="15.75" customHeight="1" x14ac:dyDescent="0.35">
      <c r="B609" s="750"/>
    </row>
    <row r="610" spans="2:2" ht="15.75" customHeight="1" x14ac:dyDescent="0.35">
      <c r="B610" s="750"/>
    </row>
    <row r="611" spans="2:2" ht="15.75" customHeight="1" x14ac:dyDescent="0.35">
      <c r="B611" s="750"/>
    </row>
    <row r="612" spans="2:2" ht="15.75" customHeight="1" x14ac:dyDescent="0.35">
      <c r="B612" s="750"/>
    </row>
    <row r="613" spans="2:2" ht="15.75" customHeight="1" x14ac:dyDescent="0.35">
      <c r="B613" s="750"/>
    </row>
    <row r="614" spans="2:2" ht="15.75" customHeight="1" x14ac:dyDescent="0.35">
      <c r="B614" s="750"/>
    </row>
    <row r="615" spans="2:2" ht="15.75" customHeight="1" x14ac:dyDescent="0.35">
      <c r="B615" s="750"/>
    </row>
    <row r="616" spans="2:2" ht="15.75" customHeight="1" x14ac:dyDescent="0.35">
      <c r="B616" s="750"/>
    </row>
    <row r="617" spans="2:2" ht="15.75" customHeight="1" x14ac:dyDescent="0.35">
      <c r="B617" s="750"/>
    </row>
    <row r="618" spans="2:2" ht="15.75" customHeight="1" x14ac:dyDescent="0.35">
      <c r="B618" s="750"/>
    </row>
    <row r="619" spans="2:2" ht="15.75" customHeight="1" x14ac:dyDescent="0.35">
      <c r="B619" s="750"/>
    </row>
    <row r="620" spans="2:2" ht="15.75" customHeight="1" x14ac:dyDescent="0.35">
      <c r="B620" s="750"/>
    </row>
    <row r="621" spans="2:2" ht="15.75" customHeight="1" x14ac:dyDescent="0.35">
      <c r="B621" s="750"/>
    </row>
    <row r="622" spans="2:2" ht="15.75" customHeight="1" x14ac:dyDescent="0.35">
      <c r="B622" s="750"/>
    </row>
    <row r="623" spans="2:2" ht="15.75" customHeight="1" x14ac:dyDescent="0.35">
      <c r="B623" s="750"/>
    </row>
    <row r="624" spans="2:2" ht="15.75" customHeight="1" x14ac:dyDescent="0.35">
      <c r="B624" s="750"/>
    </row>
    <row r="625" spans="2:2" ht="15.75" customHeight="1" x14ac:dyDescent="0.35">
      <c r="B625" s="750"/>
    </row>
    <row r="626" spans="2:2" ht="15.75" customHeight="1" x14ac:dyDescent="0.35">
      <c r="B626" s="750"/>
    </row>
    <row r="627" spans="2:2" ht="15.75" customHeight="1" x14ac:dyDescent="0.35">
      <c r="B627" s="750"/>
    </row>
    <row r="628" spans="2:2" ht="15.75" customHeight="1" x14ac:dyDescent="0.35">
      <c r="B628" s="750"/>
    </row>
    <row r="629" spans="2:2" ht="15.75" customHeight="1" x14ac:dyDescent="0.35">
      <c r="B629" s="750"/>
    </row>
    <row r="630" spans="2:2" ht="15.75" customHeight="1" x14ac:dyDescent="0.35">
      <c r="B630" s="750"/>
    </row>
    <row r="631" spans="2:2" ht="15.75" customHeight="1" x14ac:dyDescent="0.35">
      <c r="B631" s="750"/>
    </row>
    <row r="632" spans="2:2" ht="15.75" customHeight="1" x14ac:dyDescent="0.35">
      <c r="B632" s="750"/>
    </row>
    <row r="633" spans="2:2" ht="15.75" customHeight="1" x14ac:dyDescent="0.35">
      <c r="B633" s="750"/>
    </row>
    <row r="634" spans="2:2" ht="15.75" customHeight="1" x14ac:dyDescent="0.35">
      <c r="B634" s="750"/>
    </row>
    <row r="635" spans="2:2" ht="15.75" customHeight="1" x14ac:dyDescent="0.35">
      <c r="B635" s="750"/>
    </row>
    <row r="636" spans="2:2" ht="15.75" customHeight="1" x14ac:dyDescent="0.35">
      <c r="B636" s="750"/>
    </row>
    <row r="637" spans="2:2" ht="15.75" customHeight="1" x14ac:dyDescent="0.35">
      <c r="B637" s="750"/>
    </row>
    <row r="638" spans="2:2" ht="15.75" customHeight="1" x14ac:dyDescent="0.35">
      <c r="B638" s="750"/>
    </row>
    <row r="639" spans="2:2" ht="15.75" customHeight="1" x14ac:dyDescent="0.35">
      <c r="B639" s="750"/>
    </row>
    <row r="640" spans="2:2" ht="15.75" customHeight="1" x14ac:dyDescent="0.35">
      <c r="B640" s="750"/>
    </row>
    <row r="641" spans="2:2" ht="15.75" customHeight="1" x14ac:dyDescent="0.35">
      <c r="B641" s="750"/>
    </row>
    <row r="642" spans="2:2" ht="15.75" customHeight="1" x14ac:dyDescent="0.35">
      <c r="B642" s="750"/>
    </row>
    <row r="643" spans="2:2" ht="15.75" customHeight="1" x14ac:dyDescent="0.35">
      <c r="B643" s="750"/>
    </row>
    <row r="644" spans="2:2" ht="15.75" customHeight="1" x14ac:dyDescent="0.35">
      <c r="B644" s="750"/>
    </row>
    <row r="645" spans="2:2" ht="15.75" customHeight="1" x14ac:dyDescent="0.35">
      <c r="B645" s="750"/>
    </row>
    <row r="646" spans="2:2" ht="15.75" customHeight="1" x14ac:dyDescent="0.35">
      <c r="B646" s="750"/>
    </row>
    <row r="647" spans="2:2" ht="15.75" customHeight="1" x14ac:dyDescent="0.35">
      <c r="B647" s="750"/>
    </row>
    <row r="648" spans="2:2" ht="15.75" customHeight="1" x14ac:dyDescent="0.35">
      <c r="B648" s="750"/>
    </row>
    <row r="649" spans="2:2" ht="15.75" customHeight="1" x14ac:dyDescent="0.35">
      <c r="B649" s="750"/>
    </row>
    <row r="650" spans="2:2" ht="15.75" customHeight="1" x14ac:dyDescent="0.35">
      <c r="B650" s="750"/>
    </row>
    <row r="651" spans="2:2" ht="15.75" customHeight="1" x14ac:dyDescent="0.35">
      <c r="B651" s="750"/>
    </row>
    <row r="652" spans="2:2" ht="15.75" customHeight="1" x14ac:dyDescent="0.35">
      <c r="B652" s="750"/>
    </row>
    <row r="653" spans="2:2" ht="15.75" customHeight="1" x14ac:dyDescent="0.35">
      <c r="B653" s="750"/>
    </row>
    <row r="654" spans="2:2" ht="15.75" customHeight="1" x14ac:dyDescent="0.35">
      <c r="B654" s="750"/>
    </row>
    <row r="655" spans="2:2" ht="15.75" customHeight="1" x14ac:dyDescent="0.35">
      <c r="B655" s="750"/>
    </row>
    <row r="656" spans="2:2" ht="15.75" customHeight="1" x14ac:dyDescent="0.35">
      <c r="B656" s="750"/>
    </row>
    <row r="657" spans="2:2" ht="15.75" customHeight="1" x14ac:dyDescent="0.35">
      <c r="B657" s="750"/>
    </row>
    <row r="658" spans="2:2" ht="15.75" customHeight="1" x14ac:dyDescent="0.35">
      <c r="B658" s="750"/>
    </row>
    <row r="659" spans="2:2" ht="15.75" customHeight="1" x14ac:dyDescent="0.35">
      <c r="B659" s="750"/>
    </row>
    <row r="660" spans="2:2" ht="15.75" customHeight="1" x14ac:dyDescent="0.35">
      <c r="B660" s="750"/>
    </row>
    <row r="661" spans="2:2" ht="15.75" customHeight="1" x14ac:dyDescent="0.35">
      <c r="B661" s="750"/>
    </row>
    <row r="662" spans="2:2" ht="15.75" customHeight="1" x14ac:dyDescent="0.35">
      <c r="B662" s="750"/>
    </row>
    <row r="663" spans="2:2" ht="15.75" customHeight="1" x14ac:dyDescent="0.35">
      <c r="B663" s="750"/>
    </row>
    <row r="664" spans="2:2" ht="15.75" customHeight="1" x14ac:dyDescent="0.35">
      <c r="B664" s="750"/>
    </row>
    <row r="665" spans="2:2" ht="15.75" customHeight="1" x14ac:dyDescent="0.35">
      <c r="B665" s="750"/>
    </row>
    <row r="666" spans="2:2" ht="15.75" customHeight="1" x14ac:dyDescent="0.35">
      <c r="B666" s="750"/>
    </row>
    <row r="667" spans="2:2" ht="15.75" customHeight="1" x14ac:dyDescent="0.35">
      <c r="B667" s="750"/>
    </row>
    <row r="668" spans="2:2" ht="15.75" customHeight="1" x14ac:dyDescent="0.35">
      <c r="B668" s="750"/>
    </row>
    <row r="669" spans="2:2" ht="15.75" customHeight="1" x14ac:dyDescent="0.35">
      <c r="B669" s="750"/>
    </row>
    <row r="670" spans="2:2" ht="15.75" customHeight="1" x14ac:dyDescent="0.35">
      <c r="B670" s="750"/>
    </row>
    <row r="671" spans="2:2" ht="15.75" customHeight="1" x14ac:dyDescent="0.35">
      <c r="B671" s="750"/>
    </row>
    <row r="672" spans="2:2" ht="15.75" customHeight="1" x14ac:dyDescent="0.35">
      <c r="B672" s="750"/>
    </row>
    <row r="673" spans="2:2" ht="15.75" customHeight="1" x14ac:dyDescent="0.35">
      <c r="B673" s="750"/>
    </row>
    <row r="674" spans="2:2" ht="15.75" customHeight="1" x14ac:dyDescent="0.35">
      <c r="B674" s="750"/>
    </row>
    <row r="675" spans="2:2" ht="15.75" customHeight="1" x14ac:dyDescent="0.35">
      <c r="B675" s="750"/>
    </row>
    <row r="676" spans="2:2" ht="15.75" customHeight="1" x14ac:dyDescent="0.35">
      <c r="B676" s="750"/>
    </row>
    <row r="677" spans="2:2" ht="15.75" customHeight="1" x14ac:dyDescent="0.35">
      <c r="B677" s="750"/>
    </row>
    <row r="678" spans="2:2" ht="15.75" customHeight="1" x14ac:dyDescent="0.35">
      <c r="B678" s="750"/>
    </row>
    <row r="679" spans="2:2" ht="15.75" customHeight="1" x14ac:dyDescent="0.35">
      <c r="B679" s="750"/>
    </row>
    <row r="680" spans="2:2" ht="15.75" customHeight="1" x14ac:dyDescent="0.35">
      <c r="B680" s="750"/>
    </row>
    <row r="681" spans="2:2" ht="15.75" customHeight="1" x14ac:dyDescent="0.35">
      <c r="B681" s="750"/>
    </row>
    <row r="682" spans="2:2" ht="15.75" customHeight="1" x14ac:dyDescent="0.35">
      <c r="B682" s="750"/>
    </row>
    <row r="683" spans="2:2" ht="15.75" customHeight="1" x14ac:dyDescent="0.35">
      <c r="B683" s="750"/>
    </row>
    <row r="684" spans="2:2" ht="15.75" customHeight="1" x14ac:dyDescent="0.35">
      <c r="B684" s="750"/>
    </row>
    <row r="685" spans="2:2" ht="15.75" customHeight="1" x14ac:dyDescent="0.35">
      <c r="B685" s="750"/>
    </row>
    <row r="686" spans="2:2" ht="15.75" customHeight="1" x14ac:dyDescent="0.35">
      <c r="B686" s="750"/>
    </row>
    <row r="687" spans="2:2" ht="15.75" customHeight="1" x14ac:dyDescent="0.35">
      <c r="B687" s="750"/>
    </row>
    <row r="688" spans="2:2" ht="15.75" customHeight="1" x14ac:dyDescent="0.35">
      <c r="B688" s="750"/>
    </row>
    <row r="689" spans="2:2" ht="15.75" customHeight="1" x14ac:dyDescent="0.35">
      <c r="B689" s="750"/>
    </row>
    <row r="690" spans="2:2" ht="15.75" customHeight="1" x14ac:dyDescent="0.35">
      <c r="B690" s="750"/>
    </row>
    <row r="691" spans="2:2" ht="15.75" customHeight="1" x14ac:dyDescent="0.35">
      <c r="B691" s="750"/>
    </row>
    <row r="692" spans="2:2" ht="15.75" customHeight="1" x14ac:dyDescent="0.35">
      <c r="B692" s="750"/>
    </row>
    <row r="693" spans="2:2" ht="15.75" customHeight="1" x14ac:dyDescent="0.35">
      <c r="B693" s="750"/>
    </row>
    <row r="694" spans="2:2" ht="15.75" customHeight="1" x14ac:dyDescent="0.35">
      <c r="B694" s="750"/>
    </row>
    <row r="695" spans="2:2" ht="15.75" customHeight="1" x14ac:dyDescent="0.35">
      <c r="B695" s="750"/>
    </row>
    <row r="696" spans="2:2" ht="15.75" customHeight="1" x14ac:dyDescent="0.35">
      <c r="B696" s="750"/>
    </row>
    <row r="697" spans="2:2" ht="15.75" customHeight="1" x14ac:dyDescent="0.35">
      <c r="B697" s="750"/>
    </row>
    <row r="698" spans="2:2" ht="15.75" customHeight="1" x14ac:dyDescent="0.35">
      <c r="B698" s="750"/>
    </row>
    <row r="699" spans="2:2" ht="15.75" customHeight="1" x14ac:dyDescent="0.35">
      <c r="B699" s="750"/>
    </row>
    <row r="700" spans="2:2" ht="15.75" customHeight="1" x14ac:dyDescent="0.35">
      <c r="B700" s="750"/>
    </row>
    <row r="701" spans="2:2" ht="15.75" customHeight="1" x14ac:dyDescent="0.35">
      <c r="B701" s="750"/>
    </row>
    <row r="702" spans="2:2" ht="15.75" customHeight="1" x14ac:dyDescent="0.35">
      <c r="B702" s="750"/>
    </row>
    <row r="703" spans="2:2" ht="15.75" customHeight="1" x14ac:dyDescent="0.35">
      <c r="B703" s="750"/>
    </row>
    <row r="704" spans="2:2" ht="15.75" customHeight="1" x14ac:dyDescent="0.35">
      <c r="B704" s="750"/>
    </row>
    <row r="705" spans="2:2" ht="15.75" customHeight="1" x14ac:dyDescent="0.35">
      <c r="B705" s="750"/>
    </row>
    <row r="706" spans="2:2" ht="15.75" customHeight="1" x14ac:dyDescent="0.35">
      <c r="B706" s="750"/>
    </row>
    <row r="707" spans="2:2" ht="15.75" customHeight="1" x14ac:dyDescent="0.35">
      <c r="B707" s="750"/>
    </row>
    <row r="708" spans="2:2" ht="15.75" customHeight="1" x14ac:dyDescent="0.35">
      <c r="B708" s="750"/>
    </row>
    <row r="709" spans="2:2" ht="15.75" customHeight="1" x14ac:dyDescent="0.35">
      <c r="B709" s="750"/>
    </row>
    <row r="710" spans="2:2" ht="15.75" customHeight="1" x14ac:dyDescent="0.35">
      <c r="B710" s="750"/>
    </row>
    <row r="711" spans="2:2" ht="15.75" customHeight="1" x14ac:dyDescent="0.35">
      <c r="B711" s="750"/>
    </row>
    <row r="712" spans="2:2" ht="15.75" customHeight="1" x14ac:dyDescent="0.35">
      <c r="B712" s="750"/>
    </row>
    <row r="713" spans="2:2" ht="15.75" customHeight="1" x14ac:dyDescent="0.35">
      <c r="B713" s="750"/>
    </row>
    <row r="714" spans="2:2" ht="15.75" customHeight="1" x14ac:dyDescent="0.35">
      <c r="B714" s="750"/>
    </row>
    <row r="715" spans="2:2" ht="15.75" customHeight="1" x14ac:dyDescent="0.35">
      <c r="B715" s="750"/>
    </row>
    <row r="716" spans="2:2" ht="15.75" customHeight="1" x14ac:dyDescent="0.35">
      <c r="B716" s="750"/>
    </row>
    <row r="717" spans="2:2" ht="15.75" customHeight="1" x14ac:dyDescent="0.35">
      <c r="B717" s="750"/>
    </row>
    <row r="718" spans="2:2" ht="15.75" customHeight="1" x14ac:dyDescent="0.35">
      <c r="B718" s="750"/>
    </row>
    <row r="719" spans="2:2" ht="15.75" customHeight="1" x14ac:dyDescent="0.35">
      <c r="B719" s="750"/>
    </row>
    <row r="720" spans="2:2" ht="15.75" customHeight="1" x14ac:dyDescent="0.35">
      <c r="B720" s="750"/>
    </row>
    <row r="721" spans="2:2" ht="15.75" customHeight="1" x14ac:dyDescent="0.35">
      <c r="B721" s="750"/>
    </row>
    <row r="722" spans="2:2" ht="15.75" customHeight="1" x14ac:dyDescent="0.35">
      <c r="B722" s="750"/>
    </row>
    <row r="723" spans="2:2" ht="15.75" customHeight="1" x14ac:dyDescent="0.35">
      <c r="B723" s="750"/>
    </row>
    <row r="724" spans="2:2" ht="15.75" customHeight="1" x14ac:dyDescent="0.35">
      <c r="B724" s="750"/>
    </row>
    <row r="725" spans="2:2" ht="15.75" customHeight="1" x14ac:dyDescent="0.35">
      <c r="B725" s="750"/>
    </row>
    <row r="726" spans="2:2" ht="15.75" customHeight="1" x14ac:dyDescent="0.35">
      <c r="B726" s="750"/>
    </row>
    <row r="727" spans="2:2" ht="15.75" customHeight="1" x14ac:dyDescent="0.35">
      <c r="B727" s="750"/>
    </row>
    <row r="728" spans="2:2" ht="15.75" customHeight="1" x14ac:dyDescent="0.35">
      <c r="B728" s="750"/>
    </row>
    <row r="729" spans="2:2" ht="15.75" customHeight="1" x14ac:dyDescent="0.35">
      <c r="B729" s="750"/>
    </row>
    <row r="730" spans="2:2" ht="15.75" customHeight="1" x14ac:dyDescent="0.35">
      <c r="B730" s="750"/>
    </row>
    <row r="731" spans="2:2" ht="15.75" customHeight="1" x14ac:dyDescent="0.35">
      <c r="B731" s="750"/>
    </row>
    <row r="732" spans="2:2" ht="15.75" customHeight="1" x14ac:dyDescent="0.35">
      <c r="B732" s="750"/>
    </row>
    <row r="733" spans="2:2" ht="15.75" customHeight="1" x14ac:dyDescent="0.35">
      <c r="B733" s="750"/>
    </row>
    <row r="734" spans="2:2" ht="15.75" customHeight="1" x14ac:dyDescent="0.35">
      <c r="B734" s="750"/>
    </row>
    <row r="735" spans="2:2" ht="15.75" customHeight="1" x14ac:dyDescent="0.35">
      <c r="B735" s="750"/>
    </row>
    <row r="736" spans="2:2" ht="15.75" customHeight="1" x14ac:dyDescent="0.35">
      <c r="B736" s="750"/>
    </row>
    <row r="737" spans="2:2" ht="15.75" customHeight="1" x14ac:dyDescent="0.35">
      <c r="B737" s="750"/>
    </row>
    <row r="738" spans="2:2" ht="15.75" customHeight="1" x14ac:dyDescent="0.35">
      <c r="B738" s="750"/>
    </row>
    <row r="739" spans="2:2" ht="15.75" customHeight="1" x14ac:dyDescent="0.35">
      <c r="B739" s="750"/>
    </row>
    <row r="740" spans="2:2" ht="15.75" customHeight="1" x14ac:dyDescent="0.35">
      <c r="B740" s="750"/>
    </row>
    <row r="741" spans="2:2" ht="15.75" customHeight="1" x14ac:dyDescent="0.35">
      <c r="B741" s="750"/>
    </row>
    <row r="742" spans="2:2" ht="15.75" customHeight="1" x14ac:dyDescent="0.35">
      <c r="B742" s="750"/>
    </row>
    <row r="743" spans="2:2" ht="15.75" customHeight="1" x14ac:dyDescent="0.35">
      <c r="B743" s="750"/>
    </row>
    <row r="744" spans="2:2" ht="15.75" customHeight="1" x14ac:dyDescent="0.35">
      <c r="B744" s="750"/>
    </row>
    <row r="745" spans="2:2" ht="15.75" customHeight="1" x14ac:dyDescent="0.35">
      <c r="B745" s="750"/>
    </row>
    <row r="746" spans="2:2" ht="15.75" customHeight="1" x14ac:dyDescent="0.35">
      <c r="B746" s="750"/>
    </row>
    <row r="747" spans="2:2" ht="15.75" customHeight="1" x14ac:dyDescent="0.35">
      <c r="B747" s="750"/>
    </row>
    <row r="748" spans="2:2" ht="15.75" customHeight="1" x14ac:dyDescent="0.35">
      <c r="B748" s="750"/>
    </row>
    <row r="749" spans="2:2" ht="15.75" customHeight="1" x14ac:dyDescent="0.35">
      <c r="B749" s="750"/>
    </row>
    <row r="750" spans="2:2" ht="15.75" customHeight="1" x14ac:dyDescent="0.35">
      <c r="B750" s="750"/>
    </row>
    <row r="751" spans="2:2" ht="15.75" customHeight="1" x14ac:dyDescent="0.35">
      <c r="B751" s="750"/>
    </row>
    <row r="752" spans="2:2" ht="15.75" customHeight="1" x14ac:dyDescent="0.35">
      <c r="B752" s="750"/>
    </row>
    <row r="753" spans="2:2" ht="15.75" customHeight="1" x14ac:dyDescent="0.35">
      <c r="B753" s="750"/>
    </row>
    <row r="754" spans="2:2" ht="15.75" customHeight="1" x14ac:dyDescent="0.35">
      <c r="B754" s="750"/>
    </row>
    <row r="755" spans="2:2" ht="15.75" customHeight="1" x14ac:dyDescent="0.35">
      <c r="B755" s="750"/>
    </row>
    <row r="756" spans="2:2" ht="15.75" customHeight="1" x14ac:dyDescent="0.35">
      <c r="B756" s="750"/>
    </row>
    <row r="757" spans="2:2" ht="15.75" customHeight="1" x14ac:dyDescent="0.35">
      <c r="B757" s="750"/>
    </row>
    <row r="758" spans="2:2" ht="15.75" customHeight="1" x14ac:dyDescent="0.35">
      <c r="B758" s="750"/>
    </row>
    <row r="759" spans="2:2" ht="15.75" customHeight="1" x14ac:dyDescent="0.35">
      <c r="B759" s="750"/>
    </row>
    <row r="760" spans="2:2" ht="15.75" customHeight="1" x14ac:dyDescent="0.35">
      <c r="B760" s="750"/>
    </row>
    <row r="761" spans="2:2" ht="15.75" customHeight="1" x14ac:dyDescent="0.35">
      <c r="B761" s="750"/>
    </row>
    <row r="762" spans="2:2" ht="15.75" customHeight="1" x14ac:dyDescent="0.35">
      <c r="B762" s="750"/>
    </row>
    <row r="763" spans="2:2" ht="15.75" customHeight="1" x14ac:dyDescent="0.35">
      <c r="B763" s="750"/>
    </row>
    <row r="764" spans="2:2" ht="15.75" customHeight="1" x14ac:dyDescent="0.35">
      <c r="B764" s="750"/>
    </row>
    <row r="765" spans="2:2" ht="15.75" customHeight="1" x14ac:dyDescent="0.35">
      <c r="B765" s="750"/>
    </row>
    <row r="766" spans="2:2" ht="15.75" customHeight="1" x14ac:dyDescent="0.35">
      <c r="B766" s="750"/>
    </row>
    <row r="767" spans="2:2" ht="15.75" customHeight="1" x14ac:dyDescent="0.35">
      <c r="B767" s="750"/>
    </row>
    <row r="768" spans="2:2" ht="15.75" customHeight="1" x14ac:dyDescent="0.35">
      <c r="B768" s="750"/>
    </row>
    <row r="769" spans="2:2" ht="15.75" customHeight="1" x14ac:dyDescent="0.35">
      <c r="B769" s="750"/>
    </row>
    <row r="770" spans="2:2" ht="15.75" customHeight="1" x14ac:dyDescent="0.35">
      <c r="B770" s="750"/>
    </row>
    <row r="771" spans="2:2" ht="15.75" customHeight="1" x14ac:dyDescent="0.35">
      <c r="B771" s="750"/>
    </row>
    <row r="772" spans="2:2" ht="15.75" customHeight="1" x14ac:dyDescent="0.35">
      <c r="B772" s="750"/>
    </row>
    <row r="773" spans="2:2" ht="15.75" customHeight="1" x14ac:dyDescent="0.35">
      <c r="B773" s="750"/>
    </row>
    <row r="774" spans="2:2" ht="15.75" customHeight="1" x14ac:dyDescent="0.35">
      <c r="B774" s="750"/>
    </row>
    <row r="775" spans="2:2" ht="15.75" customHeight="1" x14ac:dyDescent="0.35">
      <c r="B775" s="750"/>
    </row>
    <row r="776" spans="2:2" ht="15.75" customHeight="1" x14ac:dyDescent="0.35">
      <c r="B776" s="750"/>
    </row>
    <row r="777" spans="2:2" ht="15.75" customHeight="1" x14ac:dyDescent="0.35">
      <c r="B777" s="750"/>
    </row>
    <row r="778" spans="2:2" ht="15.75" customHeight="1" x14ac:dyDescent="0.35">
      <c r="B778" s="750"/>
    </row>
    <row r="779" spans="2:2" ht="15.75" customHeight="1" x14ac:dyDescent="0.35">
      <c r="B779" s="750"/>
    </row>
    <row r="780" spans="2:2" ht="15.75" customHeight="1" x14ac:dyDescent="0.35">
      <c r="B780" s="750"/>
    </row>
    <row r="781" spans="2:2" ht="15.75" customHeight="1" x14ac:dyDescent="0.35">
      <c r="B781" s="750"/>
    </row>
    <row r="782" spans="2:2" ht="15.75" customHeight="1" x14ac:dyDescent="0.35">
      <c r="B782" s="750"/>
    </row>
    <row r="783" spans="2:2" ht="15.75" customHeight="1" x14ac:dyDescent="0.35">
      <c r="B783" s="750"/>
    </row>
    <row r="784" spans="2:2" ht="15.75" customHeight="1" x14ac:dyDescent="0.35">
      <c r="B784" s="750"/>
    </row>
    <row r="785" spans="2:2" ht="15.75" customHeight="1" x14ac:dyDescent="0.35">
      <c r="B785" s="750"/>
    </row>
    <row r="786" spans="2:2" ht="15.75" customHeight="1" x14ac:dyDescent="0.35">
      <c r="B786" s="750"/>
    </row>
    <row r="787" spans="2:2" ht="15.75" customHeight="1" x14ac:dyDescent="0.35">
      <c r="B787" s="750"/>
    </row>
    <row r="788" spans="2:2" ht="15.75" customHeight="1" x14ac:dyDescent="0.35">
      <c r="B788" s="750"/>
    </row>
    <row r="789" spans="2:2" ht="15.75" customHeight="1" x14ac:dyDescent="0.35">
      <c r="B789" s="750"/>
    </row>
    <row r="790" spans="2:2" ht="15.75" customHeight="1" x14ac:dyDescent="0.35">
      <c r="B790" s="750"/>
    </row>
    <row r="791" spans="2:2" ht="15.75" customHeight="1" x14ac:dyDescent="0.35">
      <c r="B791" s="750"/>
    </row>
    <row r="792" spans="2:2" ht="15.75" customHeight="1" x14ac:dyDescent="0.35">
      <c r="B792" s="750"/>
    </row>
    <row r="793" spans="2:2" ht="15.75" customHeight="1" x14ac:dyDescent="0.35">
      <c r="B793" s="750"/>
    </row>
    <row r="794" spans="2:2" ht="15.75" customHeight="1" x14ac:dyDescent="0.35">
      <c r="B794" s="750"/>
    </row>
    <row r="795" spans="2:2" ht="15.75" customHeight="1" x14ac:dyDescent="0.35">
      <c r="B795" s="750"/>
    </row>
    <row r="796" spans="2:2" ht="15.75" customHeight="1" x14ac:dyDescent="0.35">
      <c r="B796" s="750"/>
    </row>
    <row r="797" spans="2:2" ht="15.75" customHeight="1" x14ac:dyDescent="0.35">
      <c r="B797" s="750"/>
    </row>
    <row r="798" spans="2:2" ht="15.75" customHeight="1" x14ac:dyDescent="0.35">
      <c r="B798" s="750"/>
    </row>
    <row r="799" spans="2:2" ht="15.75" customHeight="1" x14ac:dyDescent="0.35">
      <c r="B799" s="750"/>
    </row>
    <row r="800" spans="2:2" ht="15.75" customHeight="1" x14ac:dyDescent="0.35">
      <c r="B800" s="750"/>
    </row>
    <row r="801" spans="2:2" ht="15.75" customHeight="1" x14ac:dyDescent="0.35">
      <c r="B801" s="750"/>
    </row>
    <row r="802" spans="2:2" ht="15.75" customHeight="1" x14ac:dyDescent="0.35">
      <c r="B802" s="750"/>
    </row>
    <row r="803" spans="2:2" ht="15.75" customHeight="1" x14ac:dyDescent="0.35">
      <c r="B803" s="750"/>
    </row>
    <row r="804" spans="2:2" ht="15.75" customHeight="1" x14ac:dyDescent="0.35">
      <c r="B804" s="750"/>
    </row>
    <row r="805" spans="2:2" ht="15.75" customHeight="1" x14ac:dyDescent="0.35">
      <c r="B805" s="750"/>
    </row>
    <row r="806" spans="2:2" ht="15.75" customHeight="1" x14ac:dyDescent="0.35">
      <c r="B806" s="750"/>
    </row>
    <row r="807" spans="2:2" ht="15.75" customHeight="1" x14ac:dyDescent="0.35">
      <c r="B807" s="750"/>
    </row>
    <row r="808" spans="2:2" ht="15.75" customHeight="1" x14ac:dyDescent="0.35">
      <c r="B808" s="750"/>
    </row>
    <row r="809" spans="2:2" ht="15.75" customHeight="1" x14ac:dyDescent="0.35">
      <c r="B809" s="750"/>
    </row>
    <row r="810" spans="2:2" ht="15.75" customHeight="1" x14ac:dyDescent="0.35">
      <c r="B810" s="750"/>
    </row>
    <row r="811" spans="2:2" ht="15.75" customHeight="1" x14ac:dyDescent="0.35">
      <c r="B811" s="750"/>
    </row>
    <row r="812" spans="2:2" ht="15.75" customHeight="1" x14ac:dyDescent="0.35">
      <c r="B812" s="750"/>
    </row>
    <row r="813" spans="2:2" ht="15.75" customHeight="1" x14ac:dyDescent="0.35">
      <c r="B813" s="750"/>
    </row>
    <row r="814" spans="2:2" ht="15.75" customHeight="1" x14ac:dyDescent="0.35">
      <c r="B814" s="750"/>
    </row>
    <row r="815" spans="2:2" ht="15.75" customHeight="1" x14ac:dyDescent="0.35">
      <c r="B815" s="750"/>
    </row>
    <row r="816" spans="2:2" ht="15.75" customHeight="1" x14ac:dyDescent="0.35">
      <c r="B816" s="750"/>
    </row>
    <row r="817" spans="2:2" ht="15.75" customHeight="1" x14ac:dyDescent="0.35">
      <c r="B817" s="750"/>
    </row>
    <row r="818" spans="2:2" ht="15.75" customHeight="1" x14ac:dyDescent="0.35">
      <c r="B818" s="750"/>
    </row>
    <row r="819" spans="2:2" ht="15.75" customHeight="1" x14ac:dyDescent="0.35">
      <c r="B819" s="750"/>
    </row>
    <row r="820" spans="2:2" ht="15.75" customHeight="1" x14ac:dyDescent="0.35">
      <c r="B820" s="750"/>
    </row>
    <row r="821" spans="2:2" ht="15.75" customHeight="1" x14ac:dyDescent="0.35">
      <c r="B821" s="750"/>
    </row>
    <row r="822" spans="2:2" ht="15.75" customHeight="1" x14ac:dyDescent="0.35">
      <c r="B822" s="750"/>
    </row>
    <row r="823" spans="2:2" ht="15.75" customHeight="1" x14ac:dyDescent="0.35">
      <c r="B823" s="750"/>
    </row>
    <row r="824" spans="2:2" ht="15.75" customHeight="1" x14ac:dyDescent="0.35">
      <c r="B824" s="750"/>
    </row>
    <row r="825" spans="2:2" ht="15.75" customHeight="1" x14ac:dyDescent="0.35">
      <c r="B825" s="750"/>
    </row>
    <row r="826" spans="2:2" ht="15.75" customHeight="1" x14ac:dyDescent="0.35">
      <c r="B826" s="750"/>
    </row>
    <row r="827" spans="2:2" ht="15.75" customHeight="1" x14ac:dyDescent="0.35">
      <c r="B827" s="750"/>
    </row>
    <row r="828" spans="2:2" ht="15.75" customHeight="1" x14ac:dyDescent="0.35">
      <c r="B828" s="750"/>
    </row>
    <row r="829" spans="2:2" ht="15.75" customHeight="1" x14ac:dyDescent="0.35">
      <c r="B829" s="750"/>
    </row>
    <row r="830" spans="2:2" ht="15.75" customHeight="1" x14ac:dyDescent="0.35">
      <c r="B830" s="750"/>
    </row>
    <row r="831" spans="2:2" ht="15.75" customHeight="1" x14ac:dyDescent="0.35">
      <c r="B831" s="750"/>
    </row>
    <row r="832" spans="2:2" ht="15.75" customHeight="1" x14ac:dyDescent="0.35">
      <c r="B832" s="750"/>
    </row>
    <row r="833" spans="2:2" ht="15.75" customHeight="1" x14ac:dyDescent="0.35">
      <c r="B833" s="750"/>
    </row>
    <row r="834" spans="2:2" ht="15.75" customHeight="1" x14ac:dyDescent="0.35">
      <c r="B834" s="750"/>
    </row>
    <row r="835" spans="2:2" ht="15.75" customHeight="1" x14ac:dyDescent="0.35">
      <c r="B835" s="750"/>
    </row>
    <row r="836" spans="2:2" ht="15.75" customHeight="1" x14ac:dyDescent="0.35">
      <c r="B836" s="750"/>
    </row>
    <row r="837" spans="2:2" ht="15.75" customHeight="1" x14ac:dyDescent="0.35">
      <c r="B837" s="750"/>
    </row>
    <row r="838" spans="2:2" ht="15.75" customHeight="1" x14ac:dyDescent="0.35">
      <c r="B838" s="750"/>
    </row>
    <row r="839" spans="2:2" ht="15.75" customHeight="1" x14ac:dyDescent="0.35">
      <c r="B839" s="750"/>
    </row>
    <row r="840" spans="2:2" ht="15.75" customHeight="1" x14ac:dyDescent="0.35">
      <c r="B840" s="750"/>
    </row>
    <row r="841" spans="2:2" ht="15.75" customHeight="1" x14ac:dyDescent="0.35">
      <c r="B841" s="750"/>
    </row>
    <row r="842" spans="2:2" ht="15.75" customHeight="1" x14ac:dyDescent="0.35">
      <c r="B842" s="750"/>
    </row>
    <row r="843" spans="2:2" ht="15.75" customHeight="1" x14ac:dyDescent="0.35">
      <c r="B843" s="750"/>
    </row>
    <row r="844" spans="2:2" ht="15.75" customHeight="1" x14ac:dyDescent="0.35">
      <c r="B844" s="750"/>
    </row>
    <row r="845" spans="2:2" ht="15.75" customHeight="1" x14ac:dyDescent="0.35">
      <c r="B845" s="750"/>
    </row>
    <row r="846" spans="2:2" ht="15.75" customHeight="1" x14ac:dyDescent="0.35">
      <c r="B846" s="750"/>
    </row>
    <row r="847" spans="2:2" ht="15.75" customHeight="1" x14ac:dyDescent="0.35">
      <c r="B847" s="750"/>
    </row>
    <row r="848" spans="2:2" ht="15.75" customHeight="1" x14ac:dyDescent="0.35">
      <c r="B848" s="750"/>
    </row>
    <row r="849" spans="2:2" ht="15.75" customHeight="1" x14ac:dyDescent="0.35">
      <c r="B849" s="750"/>
    </row>
    <row r="850" spans="2:2" ht="15.75" customHeight="1" x14ac:dyDescent="0.35">
      <c r="B850" s="750"/>
    </row>
    <row r="851" spans="2:2" ht="15.75" customHeight="1" x14ac:dyDescent="0.35">
      <c r="B851" s="750"/>
    </row>
    <row r="852" spans="2:2" ht="15.75" customHeight="1" x14ac:dyDescent="0.35">
      <c r="B852" s="750"/>
    </row>
    <row r="853" spans="2:2" ht="15.75" customHeight="1" x14ac:dyDescent="0.35">
      <c r="B853" s="750"/>
    </row>
    <row r="854" spans="2:2" ht="15.75" customHeight="1" x14ac:dyDescent="0.35">
      <c r="B854" s="750"/>
    </row>
    <row r="855" spans="2:2" ht="15.75" customHeight="1" x14ac:dyDescent="0.35">
      <c r="B855" s="750"/>
    </row>
    <row r="856" spans="2:2" ht="15.75" customHeight="1" x14ac:dyDescent="0.35">
      <c r="B856" s="750"/>
    </row>
    <row r="857" spans="2:2" ht="15.75" customHeight="1" x14ac:dyDescent="0.35">
      <c r="B857" s="750"/>
    </row>
    <row r="858" spans="2:2" ht="15.75" customHeight="1" x14ac:dyDescent="0.35">
      <c r="B858" s="750"/>
    </row>
    <row r="859" spans="2:2" ht="15.75" customHeight="1" x14ac:dyDescent="0.35">
      <c r="B859" s="750"/>
    </row>
    <row r="860" spans="2:2" ht="15.75" customHeight="1" x14ac:dyDescent="0.35">
      <c r="B860" s="750"/>
    </row>
    <row r="861" spans="2:2" ht="15.75" customHeight="1" x14ac:dyDescent="0.35">
      <c r="B861" s="750"/>
    </row>
    <row r="862" spans="2:2" ht="15.75" customHeight="1" x14ac:dyDescent="0.35">
      <c r="B862" s="750"/>
    </row>
    <row r="863" spans="2:2" ht="15.75" customHeight="1" x14ac:dyDescent="0.35">
      <c r="B863" s="750"/>
    </row>
    <row r="864" spans="2:2" ht="15.75" customHeight="1" x14ac:dyDescent="0.35">
      <c r="B864" s="750"/>
    </row>
    <row r="865" spans="2:2" ht="15.75" customHeight="1" x14ac:dyDescent="0.35">
      <c r="B865" s="750"/>
    </row>
    <row r="866" spans="2:2" ht="15.75" customHeight="1" x14ac:dyDescent="0.35">
      <c r="B866" s="750"/>
    </row>
    <row r="867" spans="2:2" ht="15.75" customHeight="1" x14ac:dyDescent="0.35">
      <c r="B867" s="750"/>
    </row>
    <row r="868" spans="2:2" ht="15.75" customHeight="1" x14ac:dyDescent="0.35">
      <c r="B868" s="750"/>
    </row>
    <row r="869" spans="2:2" ht="15.75" customHeight="1" x14ac:dyDescent="0.35">
      <c r="B869" s="750"/>
    </row>
    <row r="870" spans="2:2" ht="15.75" customHeight="1" x14ac:dyDescent="0.35">
      <c r="B870" s="750"/>
    </row>
    <row r="871" spans="2:2" ht="15.75" customHeight="1" x14ac:dyDescent="0.35">
      <c r="B871" s="750"/>
    </row>
    <row r="872" spans="2:2" ht="15.75" customHeight="1" x14ac:dyDescent="0.35">
      <c r="B872" s="750"/>
    </row>
    <row r="873" spans="2:2" ht="15.75" customHeight="1" x14ac:dyDescent="0.35">
      <c r="B873" s="750"/>
    </row>
    <row r="874" spans="2:2" ht="15.75" customHeight="1" x14ac:dyDescent="0.35">
      <c r="B874" s="750"/>
    </row>
    <row r="875" spans="2:2" ht="15.75" customHeight="1" x14ac:dyDescent="0.35">
      <c r="B875" s="750"/>
    </row>
    <row r="876" spans="2:2" ht="15.75" customHeight="1" x14ac:dyDescent="0.35">
      <c r="B876" s="750"/>
    </row>
    <row r="877" spans="2:2" ht="15.75" customHeight="1" x14ac:dyDescent="0.35">
      <c r="B877" s="750"/>
    </row>
    <row r="878" spans="2:2" ht="15.75" customHeight="1" x14ac:dyDescent="0.35">
      <c r="B878" s="750"/>
    </row>
    <row r="879" spans="2:2" ht="15.75" customHeight="1" x14ac:dyDescent="0.35">
      <c r="B879" s="750"/>
    </row>
    <row r="880" spans="2:2" ht="15.75" customHeight="1" x14ac:dyDescent="0.35">
      <c r="B880" s="750"/>
    </row>
    <row r="881" spans="2:2" ht="15.75" customHeight="1" x14ac:dyDescent="0.35">
      <c r="B881" s="750"/>
    </row>
    <row r="882" spans="2:2" ht="15.75" customHeight="1" x14ac:dyDescent="0.35">
      <c r="B882" s="750"/>
    </row>
    <row r="883" spans="2:2" ht="15.75" customHeight="1" x14ac:dyDescent="0.35">
      <c r="B883" s="750"/>
    </row>
    <row r="884" spans="2:2" ht="15.75" customHeight="1" x14ac:dyDescent="0.35">
      <c r="B884" s="750"/>
    </row>
    <row r="885" spans="2:2" ht="15.75" customHeight="1" x14ac:dyDescent="0.35">
      <c r="B885" s="750"/>
    </row>
    <row r="886" spans="2:2" ht="15.75" customHeight="1" x14ac:dyDescent="0.35">
      <c r="B886" s="750"/>
    </row>
    <row r="887" spans="2:2" ht="15.75" customHeight="1" x14ac:dyDescent="0.35">
      <c r="B887" s="750"/>
    </row>
    <row r="888" spans="2:2" ht="15.75" customHeight="1" x14ac:dyDescent="0.35">
      <c r="B888" s="750"/>
    </row>
    <row r="889" spans="2:2" ht="15.75" customHeight="1" x14ac:dyDescent="0.35">
      <c r="B889" s="750"/>
    </row>
    <row r="890" spans="2:2" ht="15.75" customHeight="1" x14ac:dyDescent="0.35">
      <c r="B890" s="750"/>
    </row>
    <row r="891" spans="2:2" ht="15.75" customHeight="1" x14ac:dyDescent="0.35">
      <c r="B891" s="750"/>
    </row>
    <row r="892" spans="2:2" ht="15.75" customHeight="1" x14ac:dyDescent="0.35">
      <c r="B892" s="750"/>
    </row>
    <row r="893" spans="2:2" ht="15.75" customHeight="1" x14ac:dyDescent="0.35">
      <c r="B893" s="750"/>
    </row>
    <row r="894" spans="2:2" ht="15.75" customHeight="1" x14ac:dyDescent="0.35">
      <c r="B894" s="750"/>
    </row>
    <row r="895" spans="2:2" ht="15.75" customHeight="1" x14ac:dyDescent="0.35">
      <c r="B895" s="750"/>
    </row>
    <row r="896" spans="2:2" ht="15.75" customHeight="1" x14ac:dyDescent="0.35">
      <c r="B896" s="750"/>
    </row>
    <row r="897" spans="2:2" ht="15.75" customHeight="1" x14ac:dyDescent="0.35">
      <c r="B897" s="750"/>
    </row>
    <row r="898" spans="2:2" ht="15.75" customHeight="1" x14ac:dyDescent="0.35">
      <c r="B898" s="750"/>
    </row>
    <row r="899" spans="2:2" ht="15.75" customHeight="1" x14ac:dyDescent="0.35">
      <c r="B899" s="750"/>
    </row>
    <row r="900" spans="2:2" ht="15.75" customHeight="1" x14ac:dyDescent="0.35">
      <c r="B900" s="750"/>
    </row>
    <row r="901" spans="2:2" ht="15.75" customHeight="1" x14ac:dyDescent="0.35">
      <c r="B901" s="750"/>
    </row>
    <row r="902" spans="2:2" ht="15.75" customHeight="1" x14ac:dyDescent="0.35">
      <c r="B902" s="750"/>
    </row>
    <row r="903" spans="2:2" ht="15.75" customHeight="1" x14ac:dyDescent="0.35">
      <c r="B903" s="750"/>
    </row>
    <row r="904" spans="2:2" ht="15.75" customHeight="1" x14ac:dyDescent="0.35">
      <c r="B904" s="750"/>
    </row>
    <row r="905" spans="2:2" ht="15.75" customHeight="1" x14ac:dyDescent="0.35">
      <c r="B905" s="750"/>
    </row>
    <row r="906" spans="2:2" ht="15.75" customHeight="1" x14ac:dyDescent="0.35">
      <c r="B906" s="750"/>
    </row>
    <row r="907" spans="2:2" ht="15.75" customHeight="1" x14ac:dyDescent="0.35">
      <c r="B907" s="750"/>
    </row>
    <row r="908" spans="2:2" ht="15.75" customHeight="1" x14ac:dyDescent="0.35">
      <c r="B908" s="750"/>
    </row>
    <row r="909" spans="2:2" ht="15.75" customHeight="1" x14ac:dyDescent="0.35">
      <c r="B909" s="750"/>
    </row>
    <row r="910" spans="2:2" ht="15.75" customHeight="1" x14ac:dyDescent="0.35">
      <c r="B910" s="750"/>
    </row>
    <row r="911" spans="2:2" ht="15.75" customHeight="1" x14ac:dyDescent="0.35">
      <c r="B911" s="750"/>
    </row>
    <row r="912" spans="2:2" ht="15.75" customHeight="1" x14ac:dyDescent="0.35">
      <c r="B912" s="750"/>
    </row>
    <row r="913" spans="2:2" ht="15.75" customHeight="1" x14ac:dyDescent="0.35">
      <c r="B913" s="750"/>
    </row>
    <row r="914" spans="2:2" ht="15.75" customHeight="1" x14ac:dyDescent="0.35">
      <c r="B914" s="750"/>
    </row>
    <row r="915" spans="2:2" ht="15.75" customHeight="1" x14ac:dyDescent="0.35">
      <c r="B915" s="750"/>
    </row>
    <row r="916" spans="2:2" ht="15.75" customHeight="1" x14ac:dyDescent="0.35">
      <c r="B916" s="750"/>
    </row>
    <row r="917" spans="2:2" ht="15.75" customHeight="1" x14ac:dyDescent="0.35">
      <c r="B917" s="750"/>
    </row>
    <row r="918" spans="2:2" ht="15.75" customHeight="1" x14ac:dyDescent="0.35">
      <c r="B918" s="750"/>
    </row>
    <row r="919" spans="2:2" ht="15.75" customHeight="1" x14ac:dyDescent="0.35">
      <c r="B919" s="750"/>
    </row>
    <row r="920" spans="2:2" ht="15.75" customHeight="1" x14ac:dyDescent="0.35">
      <c r="B920" s="750"/>
    </row>
    <row r="921" spans="2:2" ht="15.75" customHeight="1" x14ac:dyDescent="0.35">
      <c r="B921" s="750"/>
    </row>
    <row r="922" spans="2:2" ht="15.75" customHeight="1" x14ac:dyDescent="0.35">
      <c r="B922" s="750"/>
    </row>
    <row r="923" spans="2:2" ht="15.75" customHeight="1" x14ac:dyDescent="0.35">
      <c r="B923" s="750"/>
    </row>
    <row r="924" spans="2:2" ht="15.75" customHeight="1" x14ac:dyDescent="0.35">
      <c r="B924" s="750"/>
    </row>
    <row r="925" spans="2:2" ht="15.75" customHeight="1" x14ac:dyDescent="0.35">
      <c r="B925" s="750"/>
    </row>
    <row r="926" spans="2:2" ht="15.75" customHeight="1" x14ac:dyDescent="0.35">
      <c r="B926" s="750"/>
    </row>
    <row r="927" spans="2:2" ht="15.75" customHeight="1" x14ac:dyDescent="0.35">
      <c r="B927" s="750"/>
    </row>
    <row r="928" spans="2:2" ht="15.75" customHeight="1" x14ac:dyDescent="0.35">
      <c r="B928" s="750"/>
    </row>
    <row r="929" spans="2:2" ht="15.75" customHeight="1" x14ac:dyDescent="0.35">
      <c r="B929" s="750"/>
    </row>
    <row r="930" spans="2:2" ht="15.75" customHeight="1" x14ac:dyDescent="0.35">
      <c r="B930" s="750"/>
    </row>
    <row r="931" spans="2:2" ht="15.75" customHeight="1" x14ac:dyDescent="0.35">
      <c r="B931" s="750"/>
    </row>
    <row r="932" spans="2:2" ht="15.75" customHeight="1" x14ac:dyDescent="0.35">
      <c r="B932" s="750"/>
    </row>
    <row r="933" spans="2:2" ht="15.75" customHeight="1" x14ac:dyDescent="0.35">
      <c r="B933" s="750"/>
    </row>
    <row r="934" spans="2:2" ht="15.75" customHeight="1" x14ac:dyDescent="0.35">
      <c r="B934" s="750"/>
    </row>
    <row r="935" spans="2:2" ht="15.75" customHeight="1" x14ac:dyDescent="0.35">
      <c r="B935" s="750"/>
    </row>
    <row r="936" spans="2:2" ht="15.75" customHeight="1" x14ac:dyDescent="0.35">
      <c r="B936" s="750"/>
    </row>
    <row r="937" spans="2:2" ht="15.75" customHeight="1" x14ac:dyDescent="0.35">
      <c r="B937" s="750"/>
    </row>
    <row r="938" spans="2:2" ht="15.75" customHeight="1" x14ac:dyDescent="0.35">
      <c r="B938" s="750"/>
    </row>
    <row r="939" spans="2:2" ht="15.75" customHeight="1" x14ac:dyDescent="0.35">
      <c r="B939" s="750"/>
    </row>
    <row r="940" spans="2:2" ht="15.75" customHeight="1" x14ac:dyDescent="0.35">
      <c r="B940" s="750"/>
    </row>
    <row r="941" spans="2:2" ht="15.75" customHeight="1" x14ac:dyDescent="0.35">
      <c r="B941" s="750"/>
    </row>
    <row r="942" spans="2:2" ht="15.75" customHeight="1" x14ac:dyDescent="0.35">
      <c r="B942" s="750"/>
    </row>
    <row r="943" spans="2:2" ht="15.75" customHeight="1" x14ac:dyDescent="0.35">
      <c r="B943" s="750"/>
    </row>
    <row r="944" spans="2:2" ht="15.75" customHeight="1" x14ac:dyDescent="0.35">
      <c r="B944" s="750"/>
    </row>
    <row r="945" spans="2:2" ht="15.75" customHeight="1" x14ac:dyDescent="0.35">
      <c r="B945" s="750"/>
    </row>
    <row r="946" spans="2:2" ht="15.75" customHeight="1" x14ac:dyDescent="0.35">
      <c r="B946" s="750"/>
    </row>
    <row r="947" spans="2:2" ht="15.75" customHeight="1" x14ac:dyDescent="0.35">
      <c r="B947" s="750"/>
    </row>
    <row r="948" spans="2:2" ht="15.75" customHeight="1" x14ac:dyDescent="0.35">
      <c r="B948" s="750"/>
    </row>
    <row r="949" spans="2:2" ht="15.75" customHeight="1" x14ac:dyDescent="0.35">
      <c r="B949" s="750"/>
    </row>
    <row r="950" spans="2:2" ht="15.75" customHeight="1" x14ac:dyDescent="0.35">
      <c r="B950" s="750"/>
    </row>
    <row r="951" spans="2:2" ht="15.75" customHeight="1" x14ac:dyDescent="0.35">
      <c r="B951" s="750"/>
    </row>
    <row r="952" spans="2:2" ht="15.75" customHeight="1" x14ac:dyDescent="0.35">
      <c r="B952" s="750"/>
    </row>
    <row r="953" spans="2:2" ht="15.75" customHeight="1" x14ac:dyDescent="0.35">
      <c r="B953" s="750"/>
    </row>
    <row r="954" spans="2:2" ht="15.75" customHeight="1" x14ac:dyDescent="0.35">
      <c r="B954" s="750"/>
    </row>
    <row r="955" spans="2:2" ht="15.75" customHeight="1" x14ac:dyDescent="0.35">
      <c r="B955" s="750"/>
    </row>
    <row r="956" spans="2:2" ht="15.75" customHeight="1" x14ac:dyDescent="0.35">
      <c r="B956" s="750"/>
    </row>
    <row r="957" spans="2:2" ht="15.75" customHeight="1" x14ac:dyDescent="0.35">
      <c r="B957" s="750"/>
    </row>
    <row r="958" spans="2:2" ht="15.75" customHeight="1" x14ac:dyDescent="0.35">
      <c r="B958" s="750"/>
    </row>
    <row r="959" spans="2:2" ht="15.75" customHeight="1" x14ac:dyDescent="0.35">
      <c r="B959" s="750"/>
    </row>
    <row r="960" spans="2:2" ht="15.75" customHeight="1" x14ac:dyDescent="0.35">
      <c r="B960" s="750"/>
    </row>
    <row r="961" spans="2:2" ht="15.75" customHeight="1" x14ac:dyDescent="0.35">
      <c r="B961" s="750"/>
    </row>
    <row r="962" spans="2:2" ht="15.75" customHeight="1" x14ac:dyDescent="0.35">
      <c r="B962" s="750"/>
    </row>
    <row r="963" spans="2:2" ht="15.75" customHeight="1" x14ac:dyDescent="0.35">
      <c r="B963" s="750"/>
    </row>
    <row r="964" spans="2:2" ht="15.75" customHeight="1" x14ac:dyDescent="0.35">
      <c r="B964" s="750"/>
    </row>
    <row r="965" spans="2:2" ht="15.75" customHeight="1" x14ac:dyDescent="0.35">
      <c r="B965" s="750"/>
    </row>
    <row r="966" spans="2:2" ht="15.75" customHeight="1" x14ac:dyDescent="0.35">
      <c r="B966" s="750"/>
    </row>
    <row r="967" spans="2:2" ht="15.75" customHeight="1" x14ac:dyDescent="0.35">
      <c r="B967" s="750"/>
    </row>
    <row r="968" spans="2:2" ht="15.75" customHeight="1" x14ac:dyDescent="0.35">
      <c r="B968" s="750"/>
    </row>
    <row r="969" spans="2:2" ht="15.75" customHeight="1" x14ac:dyDescent="0.35">
      <c r="B969" s="750"/>
    </row>
    <row r="970" spans="2:2" ht="15.75" customHeight="1" x14ac:dyDescent="0.35">
      <c r="B970" s="750"/>
    </row>
    <row r="971" spans="2:2" ht="15.75" customHeight="1" x14ac:dyDescent="0.35">
      <c r="B971" s="750"/>
    </row>
    <row r="972" spans="2:2" ht="15.75" customHeight="1" x14ac:dyDescent="0.35">
      <c r="B972" s="750"/>
    </row>
    <row r="973" spans="2:2" ht="15.75" customHeight="1" x14ac:dyDescent="0.35">
      <c r="B973" s="750"/>
    </row>
    <row r="974" spans="2:2" ht="15.75" customHeight="1" x14ac:dyDescent="0.35">
      <c r="B974" s="750"/>
    </row>
    <row r="975" spans="2:2" ht="15.75" customHeight="1" x14ac:dyDescent="0.35">
      <c r="B975" s="750"/>
    </row>
    <row r="976" spans="2:2" ht="15.75" customHeight="1" x14ac:dyDescent="0.35">
      <c r="B976" s="750"/>
    </row>
    <row r="977" spans="2:2" ht="15.75" customHeight="1" x14ac:dyDescent="0.35">
      <c r="B977" s="750"/>
    </row>
    <row r="978" spans="2:2" ht="15.75" customHeight="1" x14ac:dyDescent="0.35">
      <c r="B978" s="750"/>
    </row>
    <row r="979" spans="2:2" ht="15.75" customHeight="1" x14ac:dyDescent="0.35">
      <c r="B979" s="750"/>
    </row>
    <row r="980" spans="2:2" ht="15.75" customHeight="1" x14ac:dyDescent="0.35">
      <c r="B980" s="750"/>
    </row>
    <row r="981" spans="2:2" ht="15.75" customHeight="1" x14ac:dyDescent="0.35">
      <c r="B981" s="750"/>
    </row>
    <row r="982" spans="2:2" ht="15.75" customHeight="1" x14ac:dyDescent="0.35">
      <c r="B982" s="750"/>
    </row>
    <row r="983" spans="2:2" ht="15.75" customHeight="1" x14ac:dyDescent="0.35">
      <c r="B983" s="750"/>
    </row>
    <row r="984" spans="2:2" ht="15.75" customHeight="1" x14ac:dyDescent="0.35">
      <c r="B984" s="750"/>
    </row>
    <row r="985" spans="2:2" ht="15.75" customHeight="1" x14ac:dyDescent="0.35">
      <c r="B985" s="750"/>
    </row>
    <row r="986" spans="2:2" ht="15.75" customHeight="1" x14ac:dyDescent="0.35">
      <c r="B986" s="750"/>
    </row>
    <row r="987" spans="2:2" ht="15.75" customHeight="1" x14ac:dyDescent="0.35">
      <c r="B987" s="750"/>
    </row>
    <row r="988" spans="2:2" ht="15.75" customHeight="1" x14ac:dyDescent="0.35">
      <c r="B988" s="750"/>
    </row>
    <row r="989" spans="2:2" ht="15.75" customHeight="1" x14ac:dyDescent="0.35">
      <c r="B989" s="750"/>
    </row>
    <row r="990" spans="2:2" ht="15.75" customHeight="1" x14ac:dyDescent="0.35">
      <c r="B990" s="750"/>
    </row>
    <row r="991" spans="2:2" ht="15.75" customHeight="1" x14ac:dyDescent="0.35">
      <c r="B991" s="750"/>
    </row>
    <row r="992" spans="2:2" ht="15.75" customHeight="1" x14ac:dyDescent="0.35">
      <c r="B992" s="750"/>
    </row>
    <row r="993" spans="2:2" ht="15.75" customHeight="1" x14ac:dyDescent="0.35">
      <c r="B993" s="750"/>
    </row>
    <row r="994" spans="2:2" ht="15.75" customHeight="1" x14ac:dyDescent="0.35">
      <c r="B994" s="750"/>
    </row>
    <row r="995" spans="2:2" ht="15.75" customHeight="1" x14ac:dyDescent="0.35">
      <c r="B995" s="750"/>
    </row>
    <row r="996" spans="2:2" ht="15.75" customHeight="1" x14ac:dyDescent="0.35">
      <c r="B996" s="750"/>
    </row>
    <row r="997" spans="2:2" ht="15.75" customHeight="1" x14ac:dyDescent="0.35">
      <c r="B997" s="750"/>
    </row>
    <row r="998" spans="2:2" ht="15.75" customHeight="1" x14ac:dyDescent="0.35">
      <c r="B998" s="750"/>
    </row>
    <row r="999" spans="2:2" ht="15.75" customHeight="1" x14ac:dyDescent="0.35">
      <c r="B999" s="750"/>
    </row>
    <row r="1000" spans="2:2" ht="15.75" customHeight="1" x14ac:dyDescent="0.35">
      <c r="B1000" s="750"/>
    </row>
    <row r="1001" spans="2:2" ht="15.75" customHeight="1" x14ac:dyDescent="0.35">
      <c r="B1001" s="750"/>
    </row>
    <row r="1002" spans="2:2" ht="15.75" customHeight="1" x14ac:dyDescent="0.35">
      <c r="B1002" s="750"/>
    </row>
    <row r="1003" spans="2:2" ht="15.75" customHeight="1" x14ac:dyDescent="0.35">
      <c r="B1003" s="750"/>
    </row>
    <row r="1004" spans="2:2" ht="15.75" customHeight="1" x14ac:dyDescent="0.35">
      <c r="B1004" s="750"/>
    </row>
    <row r="1005" spans="2:2" ht="15.75" customHeight="1" x14ac:dyDescent="0.35">
      <c r="B1005" s="750"/>
    </row>
    <row r="1006" spans="2:2" ht="15.75" customHeight="1" x14ac:dyDescent="0.35">
      <c r="B1006" s="750"/>
    </row>
    <row r="1007" spans="2:2" ht="15.75" customHeight="1" x14ac:dyDescent="0.35">
      <c r="B1007" s="750"/>
    </row>
    <row r="1008" spans="2:2" ht="15.75" customHeight="1" x14ac:dyDescent="0.35">
      <c r="B1008" s="750"/>
    </row>
    <row r="1009" spans="2:2" ht="15.75" customHeight="1" x14ac:dyDescent="0.35">
      <c r="B1009" s="750"/>
    </row>
    <row r="1010" spans="2:2" ht="15.75" customHeight="1" x14ac:dyDescent="0.35">
      <c r="B1010" s="750"/>
    </row>
    <row r="1011" spans="2:2" ht="15.75" customHeight="1" x14ac:dyDescent="0.35">
      <c r="B1011" s="750"/>
    </row>
    <row r="1012" spans="2:2" ht="15.75" customHeight="1" x14ac:dyDescent="0.35">
      <c r="B1012" s="750"/>
    </row>
    <row r="1013" spans="2:2" ht="15.75" customHeight="1" x14ac:dyDescent="0.35">
      <c r="B1013" s="750"/>
    </row>
    <row r="1014" spans="2:2" ht="15.75" customHeight="1" x14ac:dyDescent="0.35">
      <c r="B1014" s="750"/>
    </row>
    <row r="1015" spans="2:2" ht="15.75" customHeight="1" x14ac:dyDescent="0.35">
      <c r="B1015" s="750"/>
    </row>
    <row r="1016" spans="2:2" ht="15.75" customHeight="1" x14ac:dyDescent="0.35">
      <c r="B1016" s="750"/>
    </row>
    <row r="1017" spans="2:2" ht="15.75" customHeight="1" x14ac:dyDescent="0.35">
      <c r="B1017" s="750"/>
    </row>
    <row r="1018" spans="2:2" ht="15.75" customHeight="1" x14ac:dyDescent="0.35">
      <c r="B1018" s="750"/>
    </row>
  </sheetData>
  <mergeCells count="34">
    <mergeCell ref="B3:X3"/>
    <mergeCell ref="B61:B62"/>
    <mergeCell ref="D61:F61"/>
    <mergeCell ref="G61:N61"/>
    <mergeCell ref="P61:Q61"/>
    <mergeCell ref="D62:F62"/>
    <mergeCell ref="P62:Q62"/>
    <mergeCell ref="L47:R47"/>
    <mergeCell ref="L49:R49"/>
    <mergeCell ref="L59:R59"/>
    <mergeCell ref="S65:T65"/>
    <mergeCell ref="U65:V65"/>
    <mergeCell ref="G62:N62"/>
    <mergeCell ref="G63:N63"/>
    <mergeCell ref="P63:Q63"/>
    <mergeCell ref="G64:N64"/>
    <mergeCell ref="U64:V64"/>
    <mergeCell ref="G65:N65"/>
    <mergeCell ref="P65:Q65"/>
    <mergeCell ref="U66:V66"/>
    <mergeCell ref="U68:V68"/>
    <mergeCell ref="D69:F69"/>
    <mergeCell ref="G69:N69"/>
    <mergeCell ref="D70:F70"/>
    <mergeCell ref="G70:N70"/>
    <mergeCell ref="D71:F71"/>
    <mergeCell ref="G71:N71"/>
    <mergeCell ref="D66:F66"/>
    <mergeCell ref="G66:N66"/>
    <mergeCell ref="P66:T66"/>
    <mergeCell ref="D67:F67"/>
    <mergeCell ref="G67:N67"/>
    <mergeCell ref="D68:F68"/>
    <mergeCell ref="G68:N68"/>
  </mergeCells>
  <pageMargins left="0.7" right="0.7" top="0.75" bottom="0.75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66FF"/>
  </sheetPr>
  <dimension ref="B1:Y1004"/>
  <sheetViews>
    <sheetView workbookViewId="0"/>
  </sheetViews>
  <sheetFormatPr defaultColWidth="14.453125" defaultRowHeight="15" customHeight="1" x14ac:dyDescent="0.35"/>
  <cols>
    <col min="1" max="1" width="9.1796875" customWidth="1"/>
    <col min="2" max="2" width="30.453125" customWidth="1"/>
    <col min="3" max="3" width="8.1796875" customWidth="1"/>
    <col min="4" max="20" width="9.1796875" customWidth="1"/>
    <col min="21" max="21" width="12.1796875" customWidth="1"/>
    <col min="22" max="22" width="7.1796875" customWidth="1"/>
    <col min="23" max="23" width="24.81640625" customWidth="1"/>
  </cols>
  <sheetData>
    <row r="1" spans="2:24" ht="14.5" x14ac:dyDescent="0.35">
      <c r="B1" s="750"/>
      <c r="U1" s="1"/>
    </row>
    <row r="2" spans="2:24" ht="14.5" x14ac:dyDescent="0.35">
      <c r="B2" s="750"/>
      <c r="U2" s="1"/>
    </row>
    <row r="3" spans="2:24" ht="14.5" x14ac:dyDescent="0.35">
      <c r="B3" s="1117"/>
      <c r="C3" s="1090"/>
      <c r="D3" s="1090"/>
      <c r="E3" s="1090"/>
      <c r="F3" s="1090"/>
      <c r="G3" s="1090"/>
      <c r="H3" s="1090"/>
      <c r="I3" s="1090"/>
      <c r="J3" s="1090"/>
      <c r="K3" s="1090"/>
      <c r="L3" s="1090"/>
      <c r="M3" s="1090"/>
      <c r="N3" s="1090"/>
      <c r="O3" s="1090"/>
      <c r="P3" s="1090"/>
      <c r="Q3" s="1090"/>
      <c r="R3" s="1090"/>
      <c r="S3" s="1090"/>
      <c r="T3" s="1090"/>
      <c r="U3" s="1090"/>
      <c r="V3" s="1090"/>
      <c r="W3" s="1098"/>
    </row>
    <row r="4" spans="2:24" ht="18.5" x14ac:dyDescent="0.45">
      <c r="B4" s="1118" t="s">
        <v>966</v>
      </c>
      <c r="C4" s="1119"/>
      <c r="D4" s="1119"/>
      <c r="E4" s="1119"/>
      <c r="F4" s="1119"/>
      <c r="G4" s="1119"/>
      <c r="H4" s="1119"/>
      <c r="I4" s="1119"/>
      <c r="J4" s="1119"/>
      <c r="K4" s="1119"/>
      <c r="L4" s="1119"/>
      <c r="M4" s="1119"/>
      <c r="N4" s="1119"/>
      <c r="O4" s="1119"/>
      <c r="P4" s="1119"/>
      <c r="Q4" s="1119"/>
      <c r="R4" s="1119"/>
      <c r="S4" s="1119"/>
      <c r="T4" s="1119"/>
      <c r="U4" s="1119"/>
      <c r="V4" s="1119"/>
      <c r="W4" s="1119"/>
    </row>
    <row r="5" spans="2:24" ht="18.5" x14ac:dyDescent="0.45">
      <c r="B5" s="1120" t="s">
        <v>967</v>
      </c>
      <c r="C5" s="1031"/>
      <c r="D5" s="1031"/>
      <c r="E5" s="1031"/>
      <c r="F5" s="1031"/>
      <c r="G5" s="1031"/>
      <c r="H5" s="1031"/>
      <c r="I5" s="1031"/>
      <c r="J5" s="1031"/>
      <c r="K5" s="1031"/>
      <c r="L5" s="1031"/>
      <c r="M5" s="1031"/>
      <c r="N5" s="1031"/>
      <c r="O5" s="1031"/>
      <c r="P5" s="1031"/>
      <c r="Q5" s="1031"/>
      <c r="R5" s="1031"/>
      <c r="S5" s="1031"/>
      <c r="T5" s="1031"/>
      <c r="U5" s="1031"/>
      <c r="V5" s="1031"/>
      <c r="W5" s="1031"/>
    </row>
    <row r="6" spans="2:24" ht="18" customHeight="1" x14ac:dyDescent="0.5">
      <c r="B6" s="750"/>
      <c r="D6" s="241"/>
      <c r="E6" s="241"/>
      <c r="F6" s="241"/>
      <c r="G6" s="242"/>
      <c r="H6" s="241"/>
      <c r="I6" s="241"/>
      <c r="J6" s="241"/>
      <c r="K6" s="241"/>
      <c r="L6" s="241"/>
      <c r="M6" s="241"/>
      <c r="N6" s="241"/>
      <c r="O6" s="241"/>
      <c r="P6" s="241"/>
      <c r="Q6" s="241"/>
      <c r="R6" s="2" t="s">
        <v>20</v>
      </c>
      <c r="S6" s="2" t="s">
        <v>21</v>
      </c>
      <c r="T6" s="2" t="s">
        <v>895</v>
      </c>
      <c r="U6" s="477"/>
      <c r="W6" s="751" t="s">
        <v>897</v>
      </c>
    </row>
    <row r="7" spans="2:24" ht="18.5" x14ac:dyDescent="0.45">
      <c r="B7" s="752" t="s">
        <v>898</v>
      </c>
      <c r="D7" s="753">
        <f>ECLIPSE!G14</f>
        <v>0</v>
      </c>
      <c r="E7" s="754">
        <f>ECLIPSE!H14</f>
        <v>0</v>
      </c>
      <c r="F7" s="755">
        <f>ECLIPSE!I14</f>
        <v>0</v>
      </c>
      <c r="G7" s="756">
        <f>ECLIPSE!J14</f>
        <v>0</v>
      </c>
      <c r="H7" s="757">
        <f>ECLIPSE!K14</f>
        <v>0</v>
      </c>
      <c r="I7" s="758">
        <f>ECLIPSE!L14</f>
        <v>0</v>
      </c>
      <c r="J7" s="759">
        <f>ECLIPSE!M14</f>
        <v>0</v>
      </c>
      <c r="K7" s="760">
        <f>ECLIPSE!N14</f>
        <v>0</v>
      </c>
      <c r="L7" s="857">
        <f>ECLIPSE!O14</f>
        <v>0</v>
      </c>
      <c r="M7" s="762">
        <f>ECLIPSE!P14</f>
        <v>0</v>
      </c>
      <c r="N7" s="763">
        <f>ECLIPSE!Q14</f>
        <v>0</v>
      </c>
      <c r="O7" s="764">
        <f>ECLIPSE!R14</f>
        <v>0</v>
      </c>
      <c r="P7" s="765">
        <f>ECLIPSE!S14</f>
        <v>0</v>
      </c>
      <c r="Q7" s="109">
        <f>ECLIPSE!T14</f>
        <v>0</v>
      </c>
      <c r="R7" s="358">
        <f>ECLIPSE!U14</f>
        <v>0</v>
      </c>
      <c r="S7" s="358">
        <f>ECLIPSE!V14</f>
        <v>0</v>
      </c>
      <c r="T7" s="358">
        <f>ECLIPSE!W14</f>
        <v>0</v>
      </c>
      <c r="U7" s="767">
        <f>ECLIPSE!X14</f>
        <v>0</v>
      </c>
    </row>
    <row r="8" spans="2:24" ht="14.5" x14ac:dyDescent="0.35">
      <c r="B8" s="750"/>
      <c r="C8" s="3"/>
      <c r="D8" s="241"/>
      <c r="E8" s="241"/>
      <c r="F8" s="241"/>
      <c r="G8" s="242"/>
      <c r="H8" s="241"/>
      <c r="I8" s="241"/>
      <c r="J8" s="241"/>
      <c r="K8" s="241"/>
      <c r="L8" s="241"/>
      <c r="M8" s="241"/>
      <c r="N8" s="241"/>
      <c r="O8" s="241"/>
      <c r="P8" s="241"/>
      <c r="Q8" s="242"/>
      <c r="R8" s="241"/>
      <c r="S8" s="2"/>
      <c r="T8" s="2"/>
      <c r="U8" s="477"/>
    </row>
    <row r="9" spans="2:24" ht="18.5" x14ac:dyDescent="0.45">
      <c r="B9" s="752" t="s">
        <v>902</v>
      </c>
      <c r="D9" s="753">
        <f>ECLIPSE!G31</f>
        <v>0</v>
      </c>
      <c r="E9" s="754">
        <f>ECLIPSE!H31</f>
        <v>0</v>
      </c>
      <c r="F9" s="755">
        <f>ECLIPSE!I31</f>
        <v>0</v>
      </c>
      <c r="G9" s="756">
        <f>ECLIPSE!J31</f>
        <v>0</v>
      </c>
      <c r="H9" s="757">
        <f>ECLIPSE!K31</f>
        <v>0</v>
      </c>
      <c r="I9" s="758">
        <f>ECLIPSE!L31</f>
        <v>0</v>
      </c>
      <c r="J9" s="759">
        <f>ECLIPSE!M31</f>
        <v>0</v>
      </c>
      <c r="K9" s="760">
        <f>ECLIPSE!N31</f>
        <v>0</v>
      </c>
      <c r="L9" s="857">
        <f>ECLIPSE!O31</f>
        <v>0</v>
      </c>
      <c r="M9" s="762">
        <f>ECLIPSE!P31</f>
        <v>0</v>
      </c>
      <c r="N9" s="763">
        <f>ECLIPSE!Q31</f>
        <v>0</v>
      </c>
      <c r="O9" s="764">
        <f>ECLIPSE!R31</f>
        <v>0</v>
      </c>
      <c r="P9" s="765">
        <f>ECLIPSE!S31</f>
        <v>0</v>
      </c>
      <c r="Q9" s="109">
        <f>ECLIPSE!T31</f>
        <v>0</v>
      </c>
      <c r="R9" s="358">
        <f>ECLIPSE!U31</f>
        <v>0</v>
      </c>
      <c r="S9" s="358">
        <f>ECLIPSE!V31</f>
        <v>0</v>
      </c>
      <c r="T9" s="358">
        <f>ECLIPSE!W31</f>
        <v>0</v>
      </c>
      <c r="U9" s="767">
        <f>ECLIPSE!X31</f>
        <v>0</v>
      </c>
      <c r="W9" s="768" t="s">
        <v>903</v>
      </c>
      <c r="X9" s="703" t="s">
        <v>968</v>
      </c>
    </row>
    <row r="10" spans="2:24" ht="14.5" x14ac:dyDescent="0.35">
      <c r="B10" s="750"/>
      <c r="C10" s="3"/>
      <c r="D10" s="241"/>
      <c r="E10" s="241"/>
      <c r="F10" s="241"/>
      <c r="G10" s="242"/>
      <c r="H10" s="241"/>
      <c r="I10" s="241"/>
      <c r="J10" s="241"/>
      <c r="K10" s="241"/>
      <c r="L10" s="241"/>
      <c r="M10" s="241"/>
      <c r="N10" s="241"/>
      <c r="O10" s="241"/>
      <c r="P10" s="241"/>
      <c r="Q10" s="242"/>
      <c r="R10" s="241"/>
      <c r="S10" s="2"/>
      <c r="T10" s="2"/>
      <c r="U10" s="477"/>
      <c r="W10" s="769" t="s">
        <v>904</v>
      </c>
      <c r="X10" s="703" t="s">
        <v>968</v>
      </c>
    </row>
    <row r="11" spans="2:24" ht="18.5" x14ac:dyDescent="0.45">
      <c r="B11" s="752" t="s">
        <v>905</v>
      </c>
      <c r="C11" s="3"/>
      <c r="D11" s="753">
        <f>ECLIPSE!G46</f>
        <v>0</v>
      </c>
      <c r="E11" s="754">
        <f>ECLIPSE!H46</f>
        <v>0</v>
      </c>
      <c r="F11" s="755">
        <f>ECLIPSE!I46</f>
        <v>0</v>
      </c>
      <c r="G11" s="756">
        <f>ECLIPSE!J46</f>
        <v>0</v>
      </c>
      <c r="H11" s="757">
        <f>ECLIPSE!K46</f>
        <v>0</v>
      </c>
      <c r="I11" s="758">
        <f>ECLIPSE!L46</f>
        <v>0</v>
      </c>
      <c r="J11" s="759">
        <f>ECLIPSE!M46</f>
        <v>0</v>
      </c>
      <c r="K11" s="760">
        <f>ECLIPSE!N46</f>
        <v>0</v>
      </c>
      <c r="L11" s="857">
        <f>ECLIPSE!O46</f>
        <v>0</v>
      </c>
      <c r="M11" s="762">
        <f>ECLIPSE!P46</f>
        <v>0</v>
      </c>
      <c r="N11" s="763">
        <f>ECLIPSE!Q46</f>
        <v>0</v>
      </c>
      <c r="O11" s="764">
        <f>ECLIPSE!R46</f>
        <v>0</v>
      </c>
      <c r="P11" s="765">
        <f>ECLIPSE!S46</f>
        <v>0</v>
      </c>
      <c r="Q11" s="109">
        <f>ECLIPSE!T46</f>
        <v>0</v>
      </c>
      <c r="R11" s="358">
        <f>ECLIPSE!U46</f>
        <v>0</v>
      </c>
      <c r="S11" s="358">
        <f>ECLIPSE!V46</f>
        <v>0</v>
      </c>
      <c r="T11" s="358">
        <f>ECLIPSE!W46</f>
        <v>0</v>
      </c>
      <c r="U11" s="767">
        <f>ECLIPSE!X46</f>
        <v>0</v>
      </c>
      <c r="W11" s="770" t="s">
        <v>906</v>
      </c>
      <c r="X11" s="703" t="s">
        <v>968</v>
      </c>
    </row>
    <row r="12" spans="2:24" ht="14.5" x14ac:dyDescent="0.35">
      <c r="B12" s="750"/>
      <c r="W12" s="771" t="s">
        <v>907</v>
      </c>
      <c r="X12" s="703" t="s">
        <v>968</v>
      </c>
    </row>
    <row r="13" spans="2:24" ht="18.5" x14ac:dyDescent="0.45">
      <c r="B13" s="772" t="s">
        <v>908</v>
      </c>
      <c r="C13" s="3"/>
      <c r="D13" s="753">
        <f>TERROR!G20</f>
        <v>0</v>
      </c>
      <c r="E13" s="754">
        <f>TERROR!H20</f>
        <v>0</v>
      </c>
      <c r="F13" s="755">
        <f>TERROR!I20</f>
        <v>0</v>
      </c>
      <c r="G13" s="756">
        <f>TERROR!J20</f>
        <v>0</v>
      </c>
      <c r="H13" s="757">
        <f>TERROR!K20</f>
        <v>0</v>
      </c>
      <c r="I13" s="758">
        <f>TERROR!L20</f>
        <v>0</v>
      </c>
      <c r="J13" s="759">
        <f>TERROR!M20</f>
        <v>0</v>
      </c>
      <c r="K13" s="760">
        <f>TERROR!N20</f>
        <v>0</v>
      </c>
      <c r="L13" s="857">
        <f>TERROR!O20</f>
        <v>0</v>
      </c>
      <c r="M13" s="762">
        <f>TERROR!P20</f>
        <v>0</v>
      </c>
      <c r="N13" s="763">
        <f>TERROR!Q20</f>
        <v>0</v>
      </c>
      <c r="O13" s="764">
        <f>TERROR!R20</f>
        <v>0</v>
      </c>
      <c r="P13" s="765">
        <f>TERROR!S20</f>
        <v>0</v>
      </c>
      <c r="Q13" s="109">
        <f>TERROR!T20</f>
        <v>0</v>
      </c>
      <c r="R13" s="358">
        <f>TERROR!U20</f>
        <v>0</v>
      </c>
      <c r="S13" s="358">
        <f>TERROR!V20</f>
        <v>0</v>
      </c>
      <c r="T13" s="358">
        <f>TERROR!W20</f>
        <v>0</v>
      </c>
      <c r="U13" s="767">
        <f>TERROR!X20</f>
        <v>0</v>
      </c>
      <c r="W13" s="773" t="s">
        <v>909</v>
      </c>
      <c r="X13" s="703" t="s">
        <v>968</v>
      </c>
    </row>
    <row r="14" spans="2:24" ht="14.5" x14ac:dyDescent="0.35">
      <c r="B14" s="750"/>
      <c r="C14" s="3"/>
      <c r="D14" s="241"/>
      <c r="E14" s="241"/>
      <c r="F14" s="241"/>
      <c r="G14" s="241"/>
      <c r="H14" s="241"/>
      <c r="I14" s="241"/>
      <c r="J14" s="241"/>
      <c r="K14" s="241"/>
      <c r="L14" s="774"/>
      <c r="M14" s="241"/>
      <c r="N14" s="241"/>
      <c r="O14" s="241"/>
      <c r="P14" s="241"/>
      <c r="Q14" s="242"/>
      <c r="R14" s="241"/>
      <c r="S14" s="2"/>
      <c r="T14" s="2"/>
      <c r="U14" s="477"/>
      <c r="W14" s="775" t="s">
        <v>910</v>
      </c>
      <c r="X14" s="703" t="s">
        <v>968</v>
      </c>
    </row>
    <row r="15" spans="2:24" ht="18.5" x14ac:dyDescent="0.45">
      <c r="B15" s="776" t="s">
        <v>911</v>
      </c>
      <c r="C15" s="3"/>
      <c r="D15" s="96">
        <f>'FANGS DT'!G19</f>
        <v>0</v>
      </c>
      <c r="E15" s="97">
        <f>'FANGS DT'!H19</f>
        <v>0</v>
      </c>
      <c r="F15" s="137">
        <f>'FANGS DT'!I19</f>
        <v>0</v>
      </c>
      <c r="G15" s="301">
        <f>'FANGS DT'!J19</f>
        <v>0</v>
      </c>
      <c r="H15" s="138">
        <f>'FANGS DT'!K19</f>
        <v>0</v>
      </c>
      <c r="I15" s="777">
        <f>'FANGS DT'!L19</f>
        <v>0</v>
      </c>
      <c r="J15" s="102">
        <f>'FANGS DT'!M19</f>
        <v>0</v>
      </c>
      <c r="K15" s="103">
        <f>'FANGS DT'!N19</f>
        <v>0</v>
      </c>
      <c r="L15" s="104">
        <f>'FANGS DT'!O19</f>
        <v>0</v>
      </c>
      <c r="M15" s="105">
        <f>'FANGS DT'!P19</f>
        <v>0</v>
      </c>
      <c r="N15" s="106">
        <f>'FANGS DT'!Q19</f>
        <v>0</v>
      </c>
      <c r="O15" s="779">
        <f>'FANGS DT'!R19</f>
        <v>0</v>
      </c>
      <c r="P15" s="305">
        <f>'FANGS DT'!S19</f>
        <v>0</v>
      </c>
      <c r="Q15" s="348">
        <f>'FANGS DT'!T19</f>
        <v>0</v>
      </c>
      <c r="R15" s="108">
        <f>'FANGS DT'!U19</f>
        <v>0</v>
      </c>
      <c r="S15" s="108">
        <f>'FANGS DT'!V19</f>
        <v>0</v>
      </c>
      <c r="T15" s="108">
        <f>'FANGS DT'!W19</f>
        <v>0</v>
      </c>
      <c r="U15" s="767">
        <f>'FANGS DT'!X19</f>
        <v>0</v>
      </c>
      <c r="W15" s="780" t="s">
        <v>912</v>
      </c>
      <c r="X15" s="703" t="s">
        <v>968</v>
      </c>
    </row>
    <row r="16" spans="2:24" ht="18.5" x14ac:dyDescent="0.45">
      <c r="B16" s="781"/>
      <c r="C16" s="3"/>
      <c r="D16" s="782"/>
      <c r="E16" s="782"/>
      <c r="F16" s="782"/>
      <c r="G16" s="783"/>
      <c r="H16" s="782"/>
      <c r="I16" s="782"/>
      <c r="J16" s="782"/>
      <c r="K16" s="782"/>
      <c r="L16" s="782"/>
      <c r="M16" s="782"/>
      <c r="N16" s="782"/>
      <c r="O16" s="782"/>
      <c r="P16" s="782"/>
      <c r="Q16" s="783"/>
      <c r="R16" s="241"/>
      <c r="S16" s="2"/>
      <c r="T16" s="2"/>
      <c r="U16" s="767"/>
      <c r="W16" s="785" t="s">
        <v>913</v>
      </c>
      <c r="X16" s="703" t="s">
        <v>968</v>
      </c>
    </row>
    <row r="17" spans="2:25" ht="18.5" x14ac:dyDescent="0.45">
      <c r="B17" s="786" t="s">
        <v>914</v>
      </c>
      <c r="C17" s="3"/>
      <c r="D17" s="96">
        <f>'COMMAS DT'!G19</f>
        <v>0</v>
      </c>
      <c r="E17" s="97">
        <f>'COMMAS DT'!H19</f>
        <v>0</v>
      </c>
      <c r="F17" s="137">
        <f>'COMMAS DT'!I19</f>
        <v>0</v>
      </c>
      <c r="G17" s="301">
        <f>'COMMAS DT'!J19</f>
        <v>0</v>
      </c>
      <c r="H17" s="138">
        <f>'COMMAS DT'!K19</f>
        <v>0</v>
      </c>
      <c r="I17" s="777">
        <f>'COMMAS DT'!L19</f>
        <v>0</v>
      </c>
      <c r="J17" s="102">
        <f>'COMMAS DT'!M19</f>
        <v>0</v>
      </c>
      <c r="K17" s="103">
        <f>'COMMAS DT'!N19</f>
        <v>0</v>
      </c>
      <c r="L17" s="104">
        <f>'COMMAS DT'!O19</f>
        <v>0</v>
      </c>
      <c r="M17" s="105">
        <f>'COMMAS DT'!P19</f>
        <v>0</v>
      </c>
      <c r="N17" s="106">
        <f>'COMMAS DT'!Q19</f>
        <v>0</v>
      </c>
      <c r="O17" s="779">
        <f>'COMMAS DT'!R19</f>
        <v>0</v>
      </c>
      <c r="P17" s="305">
        <f>'COMMAS DT'!S19</f>
        <v>0</v>
      </c>
      <c r="Q17" s="348">
        <f>'COMMAS DT'!T19</f>
        <v>0</v>
      </c>
      <c r="R17" s="108">
        <f>'COMMAS DT'!U19</f>
        <v>0</v>
      </c>
      <c r="S17" s="108">
        <f>'COMMAS DT'!V19</f>
        <v>0</v>
      </c>
      <c r="T17" s="108">
        <f>'COMMAS DT'!W19</f>
        <v>0</v>
      </c>
      <c r="U17" s="767">
        <f>'COMMAS DT'!X19</f>
        <v>0</v>
      </c>
      <c r="W17" s="789" t="s">
        <v>916</v>
      </c>
      <c r="X17" s="703" t="s">
        <v>968</v>
      </c>
      <c r="Y17" s="703" t="s">
        <v>969</v>
      </c>
    </row>
    <row r="18" spans="2:25" ht="14.5" x14ac:dyDescent="0.35">
      <c r="B18" s="750"/>
      <c r="C18" s="3"/>
      <c r="D18" s="241"/>
      <c r="E18" s="241"/>
      <c r="F18" s="241"/>
      <c r="G18" s="242"/>
      <c r="H18" s="241"/>
      <c r="I18" s="241"/>
      <c r="J18" s="241"/>
      <c r="K18" s="241"/>
      <c r="L18" s="241"/>
      <c r="M18" s="241"/>
      <c r="N18" s="241"/>
      <c r="O18" s="241"/>
      <c r="P18" s="241"/>
      <c r="Q18" s="242"/>
      <c r="R18" s="241"/>
      <c r="S18" s="2"/>
      <c r="T18" s="2"/>
      <c r="U18" s="767"/>
      <c r="W18" s="790" t="s">
        <v>970</v>
      </c>
      <c r="X18" s="703" t="s">
        <v>971</v>
      </c>
    </row>
    <row r="19" spans="2:25" ht="18.5" x14ac:dyDescent="0.45">
      <c r="B19" s="786" t="s">
        <v>917</v>
      </c>
      <c r="C19" s="3"/>
      <c r="D19" s="96">
        <f>'COMMAS DT'!G36</f>
        <v>0</v>
      </c>
      <c r="E19" s="97">
        <f>'COMMAS DT'!H36</f>
        <v>0</v>
      </c>
      <c r="F19" s="137">
        <f>'COMMAS DT'!I36</f>
        <v>0</v>
      </c>
      <c r="G19" s="301">
        <f>'COMMAS DT'!J36</f>
        <v>0</v>
      </c>
      <c r="H19" s="138">
        <f>'COMMAS DT'!K36</f>
        <v>0</v>
      </c>
      <c r="I19" s="777">
        <f>'COMMAS DT'!L36</f>
        <v>0</v>
      </c>
      <c r="J19" s="102">
        <f>'COMMAS DT'!M36</f>
        <v>0</v>
      </c>
      <c r="K19" s="103">
        <f>'COMMAS DT'!N36</f>
        <v>0</v>
      </c>
      <c r="L19" s="104">
        <f>'COMMAS DT'!O36</f>
        <v>0</v>
      </c>
      <c r="M19" s="105">
        <f>'COMMAS DT'!P36</f>
        <v>0</v>
      </c>
      <c r="N19" s="106">
        <f>'COMMAS DT'!Q36</f>
        <v>0</v>
      </c>
      <c r="O19" s="779">
        <f>'COMMAS DT'!R36</f>
        <v>0</v>
      </c>
      <c r="P19" s="305">
        <f>'COMMAS DT'!S36</f>
        <v>0</v>
      </c>
      <c r="Q19" s="348">
        <f>'COMMAS DT'!T36</f>
        <v>0</v>
      </c>
      <c r="R19" s="108">
        <f>'COMMAS DT'!U36</f>
        <v>0</v>
      </c>
      <c r="S19" s="108">
        <f>'COMMAS DT'!V36</f>
        <v>0</v>
      </c>
      <c r="T19" s="108">
        <f>'COMMAS DT'!W36</f>
        <v>0</v>
      </c>
      <c r="U19" s="767">
        <f>'COMMAS DT'!X36</f>
        <v>0</v>
      </c>
      <c r="W19" s="792" t="s">
        <v>972</v>
      </c>
      <c r="X19" s="703" t="s">
        <v>973</v>
      </c>
    </row>
    <row r="20" spans="2:25" ht="14.5" x14ac:dyDescent="0.35">
      <c r="B20" s="750"/>
      <c r="U20" s="767"/>
      <c r="W20" s="19"/>
    </row>
    <row r="21" spans="2:25" ht="15.75" customHeight="1" x14ac:dyDescent="0.45">
      <c r="B21" s="786" t="s">
        <v>109</v>
      </c>
      <c r="C21" s="3"/>
      <c r="D21" s="753">
        <f>'COMMAS PE'!G17</f>
        <v>0</v>
      </c>
      <c r="E21" s="97">
        <f>'COMMAS PE'!H17</f>
        <v>0</v>
      </c>
      <c r="F21" s="137">
        <f>'COMMAS PE'!I17</f>
        <v>0</v>
      </c>
      <c r="G21" s="301">
        <f>'COMMAS PE'!J17</f>
        <v>0</v>
      </c>
      <c r="H21" s="138">
        <f>'COMMAS PE'!K17</f>
        <v>0</v>
      </c>
      <c r="I21" s="777">
        <f>'COMMAS PE'!L17</f>
        <v>0</v>
      </c>
      <c r="J21" s="102">
        <f>'COMMAS PE'!M17</f>
        <v>0</v>
      </c>
      <c r="K21" s="103">
        <f>'COMMAS PE'!N17</f>
        <v>0</v>
      </c>
      <c r="L21" s="104">
        <f>'COMMAS PE'!O17</f>
        <v>0</v>
      </c>
      <c r="M21" s="105">
        <f>'COMMAS PE'!P17</f>
        <v>0</v>
      </c>
      <c r="N21" s="106">
        <f>'COMMAS PE'!Q17</f>
        <v>0</v>
      </c>
      <c r="O21" s="779">
        <f>'COMMAS PE'!R17</f>
        <v>0</v>
      </c>
      <c r="P21" s="305">
        <f>'COMMAS PE'!S17</f>
        <v>0</v>
      </c>
      <c r="Q21" s="348">
        <f>'COMMAS PE'!T17</f>
        <v>0</v>
      </c>
      <c r="R21" s="358">
        <f>'COMMAS PE'!U17</f>
        <v>0</v>
      </c>
      <c r="S21" s="358">
        <f>'COMMAS PE'!V17</f>
        <v>0</v>
      </c>
      <c r="T21" s="358">
        <f>'COMMAS PE'!W17</f>
        <v>0</v>
      </c>
      <c r="U21" s="767">
        <f>'COMMAS PE'!X17</f>
        <v>0</v>
      </c>
      <c r="W21" s="19"/>
    </row>
    <row r="22" spans="2:25" ht="15.75" customHeight="1" x14ac:dyDescent="0.35">
      <c r="B22" s="750"/>
      <c r="W22" s="19" t="s">
        <v>921</v>
      </c>
    </row>
    <row r="23" spans="2:25" ht="15.75" customHeight="1" x14ac:dyDescent="0.45">
      <c r="B23" s="794" t="s">
        <v>923</v>
      </c>
      <c r="C23" s="3"/>
      <c r="D23" s="753">
        <f>'BOARDERLINE PE'!F16</f>
        <v>0</v>
      </c>
      <c r="E23" s="97">
        <f>'BOARDERLINE PE'!G16</f>
        <v>0</v>
      </c>
      <c r="F23" s="137">
        <f>'BOARDERLINE PE'!H16</f>
        <v>0</v>
      </c>
      <c r="G23" s="301">
        <f>'BOARDERLINE PE'!I16</f>
        <v>0</v>
      </c>
      <c r="H23" s="138">
        <f>'BOARDERLINE PE'!J16</f>
        <v>0</v>
      </c>
      <c r="I23" s="777">
        <f>'BOARDERLINE PE'!K16</f>
        <v>0</v>
      </c>
      <c r="J23" s="102">
        <f>'BOARDERLINE PE'!L16</f>
        <v>0</v>
      </c>
      <c r="K23" s="103">
        <f>'BOARDERLINE PE'!M16</f>
        <v>0</v>
      </c>
      <c r="L23" s="104">
        <f>'BOARDERLINE PE'!N16</f>
        <v>0</v>
      </c>
      <c r="M23" s="105">
        <f>'BOARDERLINE PE'!O16</f>
        <v>0</v>
      </c>
      <c r="N23" s="106">
        <f>'BOARDERLINE PE'!P16</f>
        <v>0</v>
      </c>
      <c r="O23" s="779">
        <f>'BOARDERLINE PE'!Q16</f>
        <v>0</v>
      </c>
      <c r="P23" s="305">
        <f>'BOARDERLINE PE'!R16</f>
        <v>0</v>
      </c>
      <c r="Q23" s="348">
        <f>'BOARDERLINE PE'!S16</f>
        <v>0</v>
      </c>
      <c r="R23" s="358">
        <f>'BOARDERLINE PE'!T16</f>
        <v>0</v>
      </c>
      <c r="S23" s="358">
        <f>'BOARDERLINE PE'!U16</f>
        <v>0</v>
      </c>
      <c r="T23" s="358">
        <f>'BOARDERLINE PE'!V16</f>
        <v>0</v>
      </c>
      <c r="U23" s="767">
        <f>'BOARDERLINE PE'!W16</f>
        <v>0</v>
      </c>
      <c r="W23" s="793"/>
    </row>
    <row r="24" spans="2:25" ht="15.75" customHeight="1" x14ac:dyDescent="0.35">
      <c r="W24" s="793"/>
    </row>
    <row r="25" spans="2:25" ht="15.75" customHeight="1" x14ac:dyDescent="0.45">
      <c r="B25" s="776" t="s">
        <v>257</v>
      </c>
      <c r="D25" s="753">
        <f>DRIFTS!G36</f>
        <v>0</v>
      </c>
      <c r="E25" s="754">
        <f>DRIFTS!H36</f>
        <v>0</v>
      </c>
      <c r="F25" s="755">
        <f>DRIFTS!I36</f>
        <v>0</v>
      </c>
      <c r="G25" s="756">
        <f>DRIFTS!J36</f>
        <v>0</v>
      </c>
      <c r="H25" s="757">
        <f>DRIFTS!K36</f>
        <v>0</v>
      </c>
      <c r="I25" s="758">
        <f>DRIFTS!L36</f>
        <v>0</v>
      </c>
      <c r="J25" s="759">
        <f>DRIFTS!M36</f>
        <v>0</v>
      </c>
      <c r="K25" s="760">
        <f>DRIFTS!N36</f>
        <v>0</v>
      </c>
      <c r="L25" s="857">
        <f>DRIFTS!O36</f>
        <v>0</v>
      </c>
      <c r="M25" s="762">
        <f>DRIFTS!P36</f>
        <v>0</v>
      </c>
      <c r="N25" s="763">
        <f>DRIFTS!Q36</f>
        <v>0</v>
      </c>
      <c r="O25" s="764">
        <f>DRIFTS!R36</f>
        <v>0</v>
      </c>
      <c r="P25" s="765">
        <f>DRIFTS!S36</f>
        <v>0</v>
      </c>
      <c r="Q25" s="109">
        <f>DRIFTS!T36</f>
        <v>0</v>
      </c>
      <c r="R25" s="358">
        <f>DRIFTS!U36</f>
        <v>0</v>
      </c>
      <c r="S25" s="358">
        <f>DRIFTS!V36</f>
        <v>0</v>
      </c>
      <c r="T25" s="358">
        <f>DRIFTS!W36</f>
        <v>0</v>
      </c>
      <c r="U25" s="767">
        <f>DRIFTS!X36</f>
        <v>0</v>
      </c>
      <c r="W25" s="793" t="s">
        <v>922</v>
      </c>
    </row>
    <row r="26" spans="2:25" ht="15.75" customHeight="1" x14ac:dyDescent="0.35">
      <c r="B26" s="750"/>
      <c r="C26" s="3"/>
      <c r="D26" s="241"/>
      <c r="E26" s="241"/>
      <c r="F26" s="241"/>
      <c r="G26" s="242"/>
      <c r="H26" s="241"/>
      <c r="I26" s="241"/>
      <c r="J26" s="241"/>
      <c r="K26" s="241"/>
      <c r="L26" s="241"/>
      <c r="M26" s="241"/>
      <c r="N26" s="241"/>
      <c r="O26" s="241"/>
      <c r="P26" s="241"/>
      <c r="Q26" s="242"/>
      <c r="R26" s="241"/>
      <c r="S26" s="2"/>
      <c r="T26" s="2"/>
      <c r="U26" s="477"/>
    </row>
    <row r="27" spans="2:25" ht="15.75" customHeight="1" x14ac:dyDescent="0.45">
      <c r="B27" s="795" t="s">
        <v>336</v>
      </c>
      <c r="D27" s="753">
        <f>LOAVES!G30</f>
        <v>0</v>
      </c>
      <c r="E27" s="754">
        <f>LOAVES!H30</f>
        <v>0</v>
      </c>
      <c r="F27" s="755">
        <f>LOAVES!I30</f>
        <v>0</v>
      </c>
      <c r="G27" s="756">
        <f>LOAVES!J30</f>
        <v>0</v>
      </c>
      <c r="H27" s="757">
        <f>LOAVES!K30</f>
        <v>0</v>
      </c>
      <c r="I27" s="758">
        <f>LOAVES!L30</f>
        <v>0</v>
      </c>
      <c r="J27" s="759">
        <f>LOAVES!M30</f>
        <v>0</v>
      </c>
      <c r="K27" s="760">
        <f>LOAVES!N30</f>
        <v>0</v>
      </c>
      <c r="L27" s="857">
        <f>LOAVES!O30</f>
        <v>0</v>
      </c>
      <c r="M27" s="762">
        <f>LOAVES!P30</f>
        <v>0</v>
      </c>
      <c r="N27" s="763">
        <f>LOAVES!Q30</f>
        <v>0</v>
      </c>
      <c r="O27" s="764">
        <f>LOAVES!R30</f>
        <v>0</v>
      </c>
      <c r="P27" s="765">
        <f>LOAVES!S30</f>
        <v>0</v>
      </c>
      <c r="Q27" s="109">
        <f>LOAVES!T30</f>
        <v>0</v>
      </c>
      <c r="R27" s="358">
        <f>LOAVES!U30</f>
        <v>0</v>
      </c>
      <c r="S27" s="358">
        <f>LOAVES!V30</f>
        <v>0</v>
      </c>
      <c r="T27" s="358">
        <f>LOAVES!W30</f>
        <v>0</v>
      </c>
      <c r="U27" s="767">
        <f>LOAVES!X30</f>
        <v>0</v>
      </c>
    </row>
    <row r="28" spans="2:25" ht="15.75" customHeight="1" x14ac:dyDescent="0.35">
      <c r="B28" s="750"/>
      <c r="C28" s="3"/>
      <c r="D28" s="241"/>
      <c r="E28" s="241"/>
      <c r="F28" s="241"/>
      <c r="G28" s="242"/>
      <c r="H28" s="241"/>
      <c r="I28" s="241"/>
      <c r="J28" s="241"/>
      <c r="K28" s="241"/>
      <c r="L28" s="241"/>
      <c r="M28" s="241"/>
      <c r="N28" s="241"/>
      <c r="O28" s="241"/>
      <c r="P28" s="241"/>
      <c r="Q28" s="242"/>
      <c r="R28" s="241"/>
      <c r="S28" s="2"/>
      <c r="T28" s="2"/>
      <c r="U28" s="477"/>
    </row>
    <row r="29" spans="2:25" ht="15.75" customHeight="1" x14ac:dyDescent="0.45">
      <c r="B29" s="786" t="s">
        <v>382</v>
      </c>
      <c r="D29" s="753">
        <f>'ROCK LINE'!G40</f>
        <v>0</v>
      </c>
      <c r="E29" s="754">
        <f>'ROCK LINE'!H40</f>
        <v>0</v>
      </c>
      <c r="F29" s="755">
        <f>'ROCK LINE'!I40</f>
        <v>0</v>
      </c>
      <c r="G29" s="756">
        <f>'ROCK LINE'!J40</f>
        <v>0</v>
      </c>
      <c r="H29" s="757">
        <f>'ROCK LINE'!K40</f>
        <v>0</v>
      </c>
      <c r="I29" s="758">
        <f>'ROCK LINE'!L40</f>
        <v>0</v>
      </c>
      <c r="J29" s="759">
        <f>'ROCK LINE'!M40</f>
        <v>0</v>
      </c>
      <c r="K29" s="760">
        <f>'ROCK LINE'!N40</f>
        <v>0</v>
      </c>
      <c r="L29" s="857">
        <f>'ROCK LINE'!O40</f>
        <v>0</v>
      </c>
      <c r="M29" s="762">
        <f>'ROCK LINE'!P40</f>
        <v>0</v>
      </c>
      <c r="N29" s="763">
        <f>'ROCK LINE'!Q40</f>
        <v>0</v>
      </c>
      <c r="O29" s="764">
        <f>'ROCK LINE'!R40</f>
        <v>0</v>
      </c>
      <c r="P29" s="765">
        <f>'ROCK LINE'!S40</f>
        <v>0</v>
      </c>
      <c r="Q29" s="109">
        <f>'ROCK LINE'!T40</f>
        <v>0</v>
      </c>
      <c r="R29" s="358">
        <f>'ROCK LINE'!U40</f>
        <v>0</v>
      </c>
      <c r="S29" s="358">
        <f>'ROCK LINE'!V40</f>
        <v>0</v>
      </c>
      <c r="T29" s="358">
        <f>'ROCK LINE'!W40</f>
        <v>0</v>
      </c>
      <c r="U29" s="767">
        <f>'ROCK LINE'!X40</f>
        <v>0</v>
      </c>
    </row>
    <row r="30" spans="2:25" ht="15.75" customHeight="1" x14ac:dyDescent="0.35">
      <c r="B30" s="750"/>
      <c r="C30" s="3"/>
      <c r="D30" s="241"/>
      <c r="E30" s="241"/>
      <c r="F30" s="241"/>
      <c r="G30" s="242"/>
      <c r="H30" s="241"/>
      <c r="I30" s="241"/>
      <c r="J30" s="241"/>
      <c r="K30" s="241"/>
      <c r="L30" s="241"/>
      <c r="M30" s="241"/>
      <c r="N30" s="241"/>
      <c r="O30" s="241"/>
      <c r="P30" s="241"/>
      <c r="Q30" s="242"/>
      <c r="R30" s="241"/>
      <c r="S30" s="2"/>
      <c r="T30" s="2"/>
      <c r="U30" s="477"/>
    </row>
    <row r="31" spans="2:25" ht="15.75" customHeight="1" x14ac:dyDescent="0.45">
      <c r="B31" s="796" t="s">
        <v>926</v>
      </c>
      <c r="D31" s="753">
        <f>SMOOTHLINE!G22</f>
        <v>0</v>
      </c>
      <c r="E31" s="754">
        <f>SMOOTHLINE!H22</f>
        <v>0</v>
      </c>
      <c r="F31" s="755">
        <f>SMOOTHLINE!I22</f>
        <v>0</v>
      </c>
      <c r="G31" s="756">
        <f>SMOOTHLINE!J22</f>
        <v>0</v>
      </c>
      <c r="H31" s="757">
        <f>SMOOTHLINE!K22</f>
        <v>0</v>
      </c>
      <c r="I31" s="758">
        <f>SMOOTHLINE!L22</f>
        <v>0</v>
      </c>
      <c r="J31" s="759">
        <f>SMOOTHLINE!M22</f>
        <v>0</v>
      </c>
      <c r="K31" s="760">
        <f>SMOOTHLINE!N22</f>
        <v>0</v>
      </c>
      <c r="L31" s="857">
        <f>SMOOTHLINE!O22</f>
        <v>0</v>
      </c>
      <c r="M31" s="762">
        <f>SMOOTHLINE!P22</f>
        <v>0</v>
      </c>
      <c r="N31" s="763">
        <f>SMOOTHLINE!Q22</f>
        <v>0</v>
      </c>
      <c r="O31" s="764">
        <f>SMOOTHLINE!R22</f>
        <v>0</v>
      </c>
      <c r="P31" s="765">
        <f>SMOOTHLINE!S22</f>
        <v>0</v>
      </c>
      <c r="Q31" s="109">
        <f>SMOOTHLINE!T22</f>
        <v>0</v>
      </c>
      <c r="R31" s="358">
        <f>SMOOTHLINE!U22</f>
        <v>0</v>
      </c>
      <c r="S31" s="358">
        <f>SMOOTHLINE!V22</f>
        <v>0</v>
      </c>
      <c r="T31" s="358">
        <f>SMOOTHLINE!W22</f>
        <v>0</v>
      </c>
      <c r="U31" s="767">
        <f>SMOOTHLINE!X22</f>
        <v>0</v>
      </c>
    </row>
    <row r="32" spans="2:25" ht="15.75" customHeight="1" x14ac:dyDescent="0.35">
      <c r="B32" s="750"/>
      <c r="C32" s="3"/>
      <c r="D32" s="241"/>
      <c r="E32" s="241"/>
      <c r="F32" s="241"/>
      <c r="G32" s="242"/>
      <c r="H32" s="241"/>
      <c r="I32" s="241"/>
      <c r="J32" s="241"/>
      <c r="K32" s="241"/>
      <c r="L32" s="241"/>
      <c r="M32" s="241"/>
      <c r="N32" s="241"/>
      <c r="O32" s="241"/>
      <c r="P32" s="241"/>
      <c r="Q32" s="242"/>
      <c r="R32" s="241"/>
      <c r="S32" s="2"/>
      <c r="T32" s="2"/>
      <c r="U32" s="477"/>
    </row>
    <row r="33" spans="2:22" ht="15.75" customHeight="1" x14ac:dyDescent="0.45">
      <c r="B33" s="796" t="s">
        <v>929</v>
      </c>
      <c r="D33" s="753">
        <f>SMOOTHLINE!G64</f>
        <v>0</v>
      </c>
      <c r="E33" s="754">
        <f>SMOOTHLINE!H64</f>
        <v>0</v>
      </c>
      <c r="F33" s="755">
        <f>SMOOTHLINE!I64</f>
        <v>0</v>
      </c>
      <c r="G33" s="756">
        <f>SMOOTHLINE!J64</f>
        <v>0</v>
      </c>
      <c r="H33" s="757">
        <f>SMOOTHLINE!K64</f>
        <v>0</v>
      </c>
      <c r="I33" s="758">
        <f>SMOOTHLINE!L64</f>
        <v>0</v>
      </c>
      <c r="J33" s="759">
        <f>SMOOTHLINE!M64</f>
        <v>0</v>
      </c>
      <c r="K33" s="760">
        <f>SMOOTHLINE!N64</f>
        <v>0</v>
      </c>
      <c r="L33" s="857">
        <f>SMOOTHLINE!O64</f>
        <v>0</v>
      </c>
      <c r="M33" s="762">
        <f>SMOOTHLINE!P64</f>
        <v>0</v>
      </c>
      <c r="N33" s="763">
        <f>SMOOTHLINE!Q64</f>
        <v>0</v>
      </c>
      <c r="O33" s="764">
        <f>SMOOTHLINE!R64</f>
        <v>0</v>
      </c>
      <c r="P33" s="765">
        <f>SMOOTHLINE!S64</f>
        <v>0</v>
      </c>
      <c r="Q33" s="109">
        <f>SMOOTHLINE!T64</f>
        <v>0</v>
      </c>
      <c r="R33" s="358">
        <f>SMOOTHLINE!U64</f>
        <v>0</v>
      </c>
      <c r="S33" s="358">
        <f>SMOOTHLINE!V64</f>
        <v>0</v>
      </c>
      <c r="T33" s="358">
        <f>SMOOTHLINE!W64</f>
        <v>0</v>
      </c>
      <c r="U33" s="767">
        <f>SMOOTHLINE!X64</f>
        <v>0</v>
      </c>
    </row>
    <row r="34" spans="2:22" ht="15.75" customHeight="1" x14ac:dyDescent="0.45">
      <c r="B34" s="798"/>
      <c r="D34" s="241"/>
      <c r="E34" s="241"/>
      <c r="F34" s="241"/>
      <c r="G34" s="242"/>
      <c r="H34" s="241"/>
      <c r="I34" s="241"/>
      <c r="J34" s="241"/>
      <c r="K34" s="241"/>
      <c r="L34" s="241"/>
      <c r="M34" s="241"/>
      <c r="N34" s="241"/>
      <c r="O34" s="241"/>
      <c r="P34" s="241"/>
      <c r="Q34" s="242"/>
      <c r="R34" s="2"/>
      <c r="S34" s="2"/>
      <c r="T34" s="2"/>
      <c r="U34" s="477"/>
    </row>
    <row r="35" spans="2:22" ht="15.75" customHeight="1" x14ac:dyDescent="0.45">
      <c r="B35" s="786" t="s">
        <v>931</v>
      </c>
      <c r="D35" s="753">
        <f>'HARD BOILED DT'!G31</f>
        <v>0</v>
      </c>
      <c r="E35" s="754">
        <f>'HARD BOILED DT'!H31</f>
        <v>0</v>
      </c>
      <c r="F35" s="755">
        <f>'HARD BOILED DT'!I31</f>
        <v>0</v>
      </c>
      <c r="G35" s="756">
        <f>'HARD BOILED DT'!J31</f>
        <v>0</v>
      </c>
      <c r="H35" s="757">
        <f>'HARD BOILED DT'!K31</f>
        <v>0</v>
      </c>
      <c r="I35" s="758">
        <f>'HARD BOILED DT'!L31</f>
        <v>0</v>
      </c>
      <c r="J35" s="759">
        <f>'HARD BOILED DT'!M31</f>
        <v>0</v>
      </c>
      <c r="K35" s="760">
        <f>'HARD BOILED DT'!N31</f>
        <v>0</v>
      </c>
      <c r="L35" s="857">
        <f>'HARD BOILED DT'!O31</f>
        <v>0</v>
      </c>
      <c r="M35" s="762">
        <f>'HARD BOILED DT'!P31</f>
        <v>0</v>
      </c>
      <c r="N35" s="763">
        <f>'HARD BOILED DT'!Q31</f>
        <v>0</v>
      </c>
      <c r="O35" s="764">
        <f>'HARD BOILED DT'!R31</f>
        <v>0</v>
      </c>
      <c r="P35" s="765">
        <f>'HARD BOILED DT'!S31</f>
        <v>0</v>
      </c>
      <c r="Q35" s="109">
        <f>'HARD BOILED DT'!T31</f>
        <v>0</v>
      </c>
      <c r="R35" s="358">
        <f>'HARD BOILED DT'!U31</f>
        <v>0</v>
      </c>
      <c r="S35" s="358">
        <f>'HARD BOILED DT'!V31</f>
        <v>0</v>
      </c>
      <c r="T35" s="858">
        <f>'HARD BOILED DT'!W31</f>
        <v>0</v>
      </c>
      <c r="U35" s="767">
        <f>'HARD BOILED DT'!X31</f>
        <v>0</v>
      </c>
    </row>
    <row r="36" spans="2:22" ht="15.75" customHeight="1" x14ac:dyDescent="0.35">
      <c r="B36" s="750"/>
    </row>
    <row r="37" spans="2:22" ht="15.75" customHeight="1" x14ac:dyDescent="0.45">
      <c r="B37" s="800" t="s">
        <v>933</v>
      </c>
      <c r="D37" s="753">
        <f>'DOWN JUG'!G8</f>
        <v>0</v>
      </c>
      <c r="E37" s="754">
        <f>'DOWN JUG'!H8</f>
        <v>0</v>
      </c>
      <c r="F37" s="755">
        <f>'DOWN JUG'!I8</f>
        <v>0</v>
      </c>
      <c r="G37" s="756">
        <f>'DOWN JUG'!J8</f>
        <v>0</v>
      </c>
      <c r="H37" s="757">
        <f>'DOWN JUG'!K8</f>
        <v>0</v>
      </c>
      <c r="I37" s="758">
        <f>'DOWN JUG'!L8</f>
        <v>0</v>
      </c>
      <c r="J37" s="759">
        <f>'DOWN JUG'!M8</f>
        <v>0</v>
      </c>
      <c r="K37" s="760">
        <f>'DOWN JUG'!N8</f>
        <v>0</v>
      </c>
      <c r="L37" s="857">
        <f>'DOWN JUG'!O8</f>
        <v>0</v>
      </c>
      <c r="M37" s="762">
        <f>'DOWN JUG'!P8</f>
        <v>0</v>
      </c>
      <c r="N37" s="763">
        <f>'DOWN JUG'!Q8</f>
        <v>0</v>
      </c>
      <c r="O37" s="764">
        <f>'DOWN JUG'!R8</f>
        <v>0</v>
      </c>
      <c r="P37" s="765">
        <f>'DOWN JUG'!S8</f>
        <v>0</v>
      </c>
      <c r="Q37" s="109">
        <f>'DOWN JUG'!T8</f>
        <v>0</v>
      </c>
      <c r="R37" s="358">
        <f>'DOWN JUG'!U8</f>
        <v>0</v>
      </c>
      <c r="S37" s="358">
        <f>'DOWN JUG'!V8</f>
        <v>0</v>
      </c>
      <c r="T37" s="858">
        <f>'DOWN JUG'!W8</f>
        <v>0</v>
      </c>
      <c r="U37" s="767">
        <f>'DOWN JUG'!X8</f>
        <v>0</v>
      </c>
    </row>
    <row r="38" spans="2:22" ht="15.75" customHeight="1" x14ac:dyDescent="0.45">
      <c r="B38" s="798"/>
      <c r="C38" s="802"/>
      <c r="D38" s="802"/>
      <c r="E38" s="802"/>
      <c r="F38" s="802"/>
      <c r="G38" s="802"/>
      <c r="H38" s="802"/>
      <c r="I38" s="802"/>
      <c r="J38" s="802"/>
      <c r="K38" s="802"/>
      <c r="L38" s="802"/>
      <c r="M38" s="802"/>
      <c r="N38" s="802"/>
      <c r="O38" s="802"/>
      <c r="P38" s="802"/>
      <c r="Q38" s="802"/>
      <c r="R38" s="802"/>
      <c r="S38" s="802"/>
      <c r="T38" s="802"/>
      <c r="U38" s="802"/>
      <c r="V38" s="802"/>
    </row>
    <row r="39" spans="2:22" ht="15.75" customHeight="1" x14ac:dyDescent="0.45">
      <c r="B39" s="804" t="s">
        <v>974</v>
      </c>
      <c r="D39" s="96">
        <f>'FIBERGLASS MACROS'!H70</f>
        <v>0</v>
      </c>
      <c r="E39" s="754">
        <f>'FIBERGLASS MACROS'!I70</f>
        <v>0</v>
      </c>
      <c r="F39" s="755">
        <f>'FIBERGLASS MACROS'!J70</f>
        <v>0</v>
      </c>
      <c r="G39" s="756">
        <f>'FIBERGLASS MACROS'!K70</f>
        <v>0</v>
      </c>
      <c r="H39" s="302"/>
      <c r="I39" s="101"/>
      <c r="J39" s="102"/>
      <c r="K39" s="760">
        <f>'FIBERGLASS MACROS'!L70</f>
        <v>0</v>
      </c>
      <c r="L39" s="857">
        <f>'FIBERGLASS MACROS'!M70</f>
        <v>0</v>
      </c>
      <c r="M39" s="108" t="s">
        <v>900</v>
      </c>
      <c r="N39" s="108" t="s">
        <v>900</v>
      </c>
      <c r="O39" s="764">
        <f>'FIBERGLASS MACROS'!O70</f>
        <v>0</v>
      </c>
      <c r="P39" s="765">
        <f>'FIBERGLASS MACROS'!P70</f>
        <v>0</v>
      </c>
      <c r="Q39" s="805">
        <f>'FIBERGLASS MACROS'!N70</f>
        <v>0</v>
      </c>
      <c r="R39" s="241"/>
      <c r="S39" s="358">
        <f>'FIBERGLASS MACROS'!Q70</f>
        <v>0</v>
      </c>
      <c r="T39" s="358">
        <f>'FIBERGLASS MACROS'!R70</f>
        <v>0</v>
      </c>
      <c r="U39" s="767">
        <f>'FIBERGLASS MACROS'!S70</f>
        <v>0</v>
      </c>
    </row>
    <row r="40" spans="2:22" ht="15.75" customHeight="1" x14ac:dyDescent="0.45">
      <c r="B40" s="798"/>
      <c r="C40" s="3"/>
      <c r="D40" s="241"/>
      <c r="E40" s="241"/>
      <c r="F40" s="241"/>
      <c r="G40" s="242"/>
      <c r="H40" s="241"/>
      <c r="I40" s="241"/>
      <c r="J40" s="241"/>
      <c r="K40" s="241"/>
      <c r="L40" s="241"/>
      <c r="M40" s="241"/>
      <c r="N40" s="241"/>
      <c r="O40" s="241"/>
      <c r="P40" s="241"/>
      <c r="Q40" s="242"/>
      <c r="R40" s="241"/>
      <c r="S40" s="2"/>
      <c r="T40" s="2"/>
      <c r="U40" s="477"/>
    </row>
    <row r="41" spans="2:22" ht="15.75" customHeight="1" x14ac:dyDescent="0.45">
      <c r="B41" s="807" t="s">
        <v>975</v>
      </c>
      <c r="D41" s="96">
        <f>'THERMO PLASTIC MACROS DUAL '!H75</f>
        <v>0</v>
      </c>
      <c r="E41" s="754">
        <f>'THERMO PLASTIC MACROS DUAL '!I75</f>
        <v>0</v>
      </c>
      <c r="F41" s="755">
        <f>'THERMO PLASTIC MACROS DUAL '!J75</f>
        <v>0</v>
      </c>
      <c r="G41" s="756">
        <f>'THERMO PLASTIC MACROS DUAL '!K75</f>
        <v>0</v>
      </c>
      <c r="H41" s="302">
        <f>'THERMO PLASTIC MACROS DUAL '!N75</f>
        <v>0</v>
      </c>
      <c r="I41" s="101">
        <f>'THERMO PLASTIC MACROS DUAL '!O75</f>
        <v>0</v>
      </c>
      <c r="J41" s="102">
        <f>'THERMO PLASTIC MACROS DUAL '!P75</f>
        <v>0</v>
      </c>
      <c r="K41" s="760">
        <f>'THERMO PLASTIC MACROS DUAL '!Q75</f>
        <v>0</v>
      </c>
      <c r="L41" s="857" t="s">
        <v>976</v>
      </c>
      <c r="M41" s="108" t="s">
        <v>900</v>
      </c>
      <c r="N41" s="108" t="s">
        <v>900</v>
      </c>
      <c r="O41" s="107">
        <f>'FIBERGLASS MACROS'!O70</f>
        <v>0</v>
      </c>
      <c r="P41" s="765">
        <f>'THERMO PLASTIC MACROS DUAL '!L75</f>
        <v>0</v>
      </c>
      <c r="Q41" s="109">
        <f>'THERMO PLASTIC MACROS DUAL '!R75</f>
        <v>0</v>
      </c>
      <c r="R41" s="241"/>
      <c r="S41" s="108">
        <f>'THERMO PLASTIC MACROS DUAL '!T75</f>
        <v>0</v>
      </c>
      <c r="T41" s="108">
        <f>'THERMO PLASTIC MACROS DUAL '!U75</f>
        <v>0</v>
      </c>
      <c r="U41" s="767">
        <f>'THERMO PLASTIC MACROS DUAL '!V75</f>
        <v>0</v>
      </c>
    </row>
    <row r="42" spans="2:22" ht="15.75" customHeight="1" x14ac:dyDescent="0.35">
      <c r="B42" s="750"/>
      <c r="C42" s="3"/>
      <c r="D42" s="241"/>
      <c r="E42" s="241"/>
      <c r="F42" s="241"/>
      <c r="G42" s="242"/>
      <c r="H42" s="241"/>
      <c r="I42" s="241"/>
      <c r="J42" s="241"/>
      <c r="K42" s="241"/>
      <c r="L42" s="241"/>
      <c r="M42" s="241"/>
      <c r="N42" s="241"/>
      <c r="O42" s="241"/>
      <c r="P42" s="241"/>
      <c r="Q42" s="242"/>
      <c r="R42" s="241"/>
      <c r="S42" s="2"/>
      <c r="T42" s="2"/>
      <c r="U42" s="477"/>
    </row>
    <row r="43" spans="2:22" ht="15.75" customHeight="1" x14ac:dyDescent="0.45">
      <c r="B43" s="807" t="s">
        <v>977</v>
      </c>
      <c r="D43" s="96">
        <f>'THERMO PLASTIC MACROS FT'!H75</f>
        <v>0</v>
      </c>
      <c r="E43" s="754">
        <f>'THERMO PLASTIC MACROS FT'!I75</f>
        <v>0</v>
      </c>
      <c r="F43" s="755">
        <f>'THERMO PLASTIC MACROS FT'!J75</f>
        <v>0</v>
      </c>
      <c r="G43" s="756">
        <f>'THERMO PLASTIC MACROS FT'!K75</f>
        <v>0</v>
      </c>
      <c r="H43" s="302">
        <f>'THERMO PLASTIC MACROS FT'!N75</f>
        <v>0</v>
      </c>
      <c r="I43" s="101">
        <f>'THERMO PLASTIC MACROS FT'!O75</f>
        <v>0</v>
      </c>
      <c r="J43" s="102">
        <f>'THERMO PLASTIC MACROS FT'!P75</f>
        <v>0</v>
      </c>
      <c r="K43" s="103">
        <f>'THERMO PLASTIC MACROS FT'!Q75</f>
        <v>0</v>
      </c>
      <c r="L43" s="104" t="s">
        <v>976</v>
      </c>
      <c r="M43" s="108" t="s">
        <v>900</v>
      </c>
      <c r="N43" s="108" t="s">
        <v>900</v>
      </c>
      <c r="O43" s="859">
        <f>'THERMO PLASTIC MACROS FT'!S75</f>
        <v>0</v>
      </c>
      <c r="P43" s="108">
        <f>'THERMO PLASTIC MACROS FT'!L75</f>
        <v>0</v>
      </c>
      <c r="Q43" s="109">
        <f>'THERMO PLASTIC MACROS FT'!R75</f>
        <v>0</v>
      </c>
      <c r="R43" s="241"/>
      <c r="S43" s="108">
        <f>'THERMO PLASTIC MACROS FT'!T75</f>
        <v>0</v>
      </c>
      <c r="T43" s="108">
        <f>'THERMO PLASTIC MACROS FT'!U75</f>
        <v>0</v>
      </c>
      <c r="U43" s="860">
        <f>'THERMO PLASTIC MACROS FT'!V75</f>
        <v>0</v>
      </c>
    </row>
    <row r="44" spans="2:22" ht="15.75" customHeight="1" x14ac:dyDescent="0.35">
      <c r="B44" s="750"/>
      <c r="C44" s="3"/>
      <c r="D44" s="241"/>
      <c r="E44" s="241"/>
      <c r="F44" s="241"/>
      <c r="G44" s="242"/>
      <c r="H44" s="241"/>
      <c r="I44" s="241"/>
      <c r="J44" s="241"/>
      <c r="K44" s="241"/>
      <c r="L44" s="241"/>
      <c r="M44" s="241"/>
      <c r="N44" s="241"/>
      <c r="O44" s="241"/>
      <c r="P44" s="241"/>
      <c r="Q44" s="242"/>
      <c r="R44" s="241"/>
      <c r="S44" s="2"/>
      <c r="T44" s="2"/>
      <c r="U44" s="477"/>
    </row>
    <row r="45" spans="2:22" ht="15.75" customHeight="1" x14ac:dyDescent="0.45">
      <c r="B45" s="1121" t="s">
        <v>945</v>
      </c>
      <c r="C45" s="1098"/>
      <c r="D45" s="96">
        <f t="shared" ref="D45:Q45" si="0">SUM(D7:D29)</f>
        <v>0</v>
      </c>
      <c r="E45" s="97">
        <f t="shared" si="0"/>
        <v>0</v>
      </c>
      <c r="F45" s="829">
        <f t="shared" si="0"/>
        <v>0</v>
      </c>
      <c r="G45" s="99">
        <f t="shared" si="0"/>
        <v>0</v>
      </c>
      <c r="H45" s="302">
        <f t="shared" si="0"/>
        <v>0</v>
      </c>
      <c r="I45" s="101">
        <f t="shared" si="0"/>
        <v>0</v>
      </c>
      <c r="J45" s="102">
        <f t="shared" si="0"/>
        <v>0</v>
      </c>
      <c r="K45" s="103">
        <f t="shared" si="0"/>
        <v>0</v>
      </c>
      <c r="L45" s="104">
        <f t="shared" si="0"/>
        <v>0</v>
      </c>
      <c r="M45" s="108">
        <f t="shared" si="0"/>
        <v>0</v>
      </c>
      <c r="N45" s="108">
        <f t="shared" si="0"/>
        <v>0</v>
      </c>
      <c r="O45" s="107">
        <f t="shared" si="0"/>
        <v>0</v>
      </c>
      <c r="P45" s="108">
        <f t="shared" si="0"/>
        <v>0</v>
      </c>
      <c r="Q45" s="109">
        <f t="shared" si="0"/>
        <v>0</v>
      </c>
      <c r="R45" s="2"/>
      <c r="S45" s="2"/>
      <c r="T45" s="2"/>
      <c r="U45" s="477"/>
    </row>
    <row r="46" spans="2:22" ht="15.75" customHeight="1" x14ac:dyDescent="0.35">
      <c r="B46" s="750"/>
      <c r="G46" s="479"/>
      <c r="U46" s="1"/>
    </row>
    <row r="47" spans="2:22" ht="15.75" customHeight="1" x14ac:dyDescent="0.35">
      <c r="B47" s="1114" t="s">
        <v>950</v>
      </c>
      <c r="D47" s="1099" t="s">
        <v>951</v>
      </c>
      <c r="E47" s="1090"/>
      <c r="F47" s="1098"/>
      <c r="G47" s="1097"/>
      <c r="H47" s="1090"/>
      <c r="I47" s="1090"/>
      <c r="J47" s="1090"/>
      <c r="K47" s="1090"/>
      <c r="L47" s="1090"/>
      <c r="M47" s="1090"/>
      <c r="N47" s="1098"/>
      <c r="P47" s="1115" t="s">
        <v>952</v>
      </c>
      <c r="Q47" s="1049"/>
      <c r="R47" s="849">
        <f>SUM(R7:R45)</f>
        <v>0</v>
      </c>
      <c r="S47" s="750"/>
      <c r="U47" s="1"/>
    </row>
    <row r="48" spans="2:22" ht="15.75" customHeight="1" x14ac:dyDescent="0.35">
      <c r="B48" s="1042"/>
      <c r="D48" s="1099" t="s">
        <v>953</v>
      </c>
      <c r="E48" s="1090"/>
      <c r="F48" s="1098"/>
      <c r="G48" s="1097"/>
      <c r="H48" s="1090"/>
      <c r="I48" s="1090"/>
      <c r="J48" s="1090"/>
      <c r="K48" s="1090"/>
      <c r="L48" s="1090"/>
      <c r="M48" s="1090"/>
      <c r="N48" s="1098"/>
      <c r="P48" s="1116" t="s">
        <v>954</v>
      </c>
      <c r="Q48" s="1034"/>
      <c r="R48" s="849"/>
      <c r="S48" s="849">
        <f>SUM(S7:S47)</f>
        <v>0</v>
      </c>
      <c r="U48" s="1"/>
    </row>
    <row r="49" spans="2:21" ht="15.75" customHeight="1" x14ac:dyDescent="0.35">
      <c r="B49" s="750"/>
      <c r="D49" s="133"/>
      <c r="E49" s="133"/>
      <c r="F49" s="133"/>
      <c r="G49" s="1097"/>
      <c r="H49" s="1090"/>
      <c r="I49" s="1090"/>
      <c r="J49" s="1090"/>
      <c r="K49" s="1090"/>
      <c r="L49" s="1090"/>
      <c r="M49" s="1090"/>
      <c r="N49" s="1098"/>
      <c r="P49" s="1109" t="s">
        <v>956</v>
      </c>
      <c r="Q49" s="1110"/>
      <c r="R49" s="849"/>
      <c r="S49" s="849"/>
      <c r="T49" s="851">
        <f>SUM(T7:T47)</f>
        <v>0</v>
      </c>
      <c r="U49" s="1"/>
    </row>
    <row r="50" spans="2:21" ht="15.75" customHeight="1" x14ac:dyDescent="0.45">
      <c r="B50" s="750"/>
      <c r="D50" s="133"/>
      <c r="E50" s="133"/>
      <c r="F50" s="133"/>
      <c r="G50" s="1097"/>
      <c r="H50" s="1090"/>
      <c r="I50" s="1090"/>
      <c r="J50" s="1090"/>
      <c r="K50" s="1090"/>
      <c r="L50" s="1090"/>
      <c r="M50" s="1090"/>
      <c r="N50" s="1098"/>
      <c r="P50" s="852" t="s">
        <v>957</v>
      </c>
      <c r="Q50" s="853"/>
      <c r="R50" s="854"/>
      <c r="S50" s="854"/>
      <c r="T50" s="1111">
        <f>SUM(U7:U43)</f>
        <v>0</v>
      </c>
      <c r="U50" s="1094"/>
    </row>
    <row r="51" spans="2:21" ht="15.75" customHeight="1" x14ac:dyDescent="0.45">
      <c r="B51" s="750"/>
      <c r="D51" s="133"/>
      <c r="E51" s="133"/>
      <c r="F51" s="133"/>
      <c r="G51" s="1097"/>
      <c r="H51" s="1090"/>
      <c r="I51" s="1090"/>
      <c r="J51" s="1090"/>
      <c r="K51" s="1090"/>
      <c r="L51" s="1090"/>
      <c r="M51" s="1090"/>
      <c r="N51" s="1098"/>
      <c r="P51" s="1122" t="s">
        <v>958</v>
      </c>
      <c r="Q51" s="1058"/>
      <c r="R51" s="1123"/>
      <c r="S51" s="1056"/>
      <c r="T51" s="1103">
        <f>T50*R51</f>
        <v>0</v>
      </c>
      <c r="U51" s="1096"/>
    </row>
    <row r="52" spans="2:21" ht="15.75" customHeight="1" x14ac:dyDescent="0.45">
      <c r="B52" s="750"/>
      <c r="D52" s="1099" t="s">
        <v>959</v>
      </c>
      <c r="E52" s="1090"/>
      <c r="F52" s="1098"/>
      <c r="G52" s="1097"/>
      <c r="H52" s="1090"/>
      <c r="I52" s="1090"/>
      <c r="J52" s="1090"/>
      <c r="K52" s="1090"/>
      <c r="L52" s="1090"/>
      <c r="M52" s="1090"/>
      <c r="N52" s="1098"/>
      <c r="P52" s="1124" t="s">
        <v>978</v>
      </c>
      <c r="Q52" s="1042"/>
      <c r="R52" s="1125"/>
      <c r="S52" s="1126"/>
      <c r="T52" s="1104">
        <f>(T50+T51)*R52</f>
        <v>0</v>
      </c>
      <c r="U52" s="1102"/>
    </row>
    <row r="53" spans="2:21" ht="15.75" customHeight="1" x14ac:dyDescent="0.45">
      <c r="B53" s="750"/>
      <c r="D53" s="1099" t="s">
        <v>961</v>
      </c>
      <c r="E53" s="1090"/>
      <c r="F53" s="1098"/>
      <c r="G53" s="1101"/>
      <c r="H53" s="1042"/>
      <c r="I53" s="1042"/>
      <c r="J53" s="1042"/>
      <c r="K53" s="1042"/>
      <c r="L53" s="1042"/>
      <c r="M53" s="1042"/>
      <c r="N53" s="1102"/>
      <c r="P53" s="1122" t="s">
        <v>979</v>
      </c>
      <c r="Q53" s="1058"/>
      <c r="R53" s="1058"/>
      <c r="S53" s="861"/>
      <c r="T53" s="1103">
        <f>T50-T51</f>
        <v>0</v>
      </c>
      <c r="U53" s="1096"/>
    </row>
    <row r="54" spans="2:21" ht="15.75" customHeight="1" x14ac:dyDescent="0.35">
      <c r="B54" s="750"/>
      <c r="D54" s="1099" t="s">
        <v>962</v>
      </c>
      <c r="E54" s="1090"/>
      <c r="F54" s="1098"/>
      <c r="G54" s="1097"/>
      <c r="H54" s="1090"/>
      <c r="I54" s="1090"/>
      <c r="J54" s="1090"/>
      <c r="K54" s="1090"/>
      <c r="L54" s="1090"/>
      <c r="M54" s="1090"/>
      <c r="N54" s="1098"/>
      <c r="U54" s="1"/>
    </row>
    <row r="55" spans="2:21" ht="15.75" customHeight="1" x14ac:dyDescent="0.35">
      <c r="B55" s="750"/>
      <c r="D55" s="1099" t="s">
        <v>963</v>
      </c>
      <c r="E55" s="1090"/>
      <c r="F55" s="1098"/>
      <c r="G55" s="1097"/>
      <c r="H55" s="1090"/>
      <c r="I55" s="1090"/>
      <c r="J55" s="1090"/>
      <c r="K55" s="1090"/>
      <c r="L55" s="1090"/>
      <c r="M55" s="1090"/>
      <c r="N55" s="1098"/>
      <c r="U55" s="1"/>
    </row>
    <row r="56" spans="2:21" ht="15.75" customHeight="1" x14ac:dyDescent="0.35">
      <c r="B56" s="750"/>
      <c r="D56" s="1099" t="s">
        <v>964</v>
      </c>
      <c r="E56" s="1090"/>
      <c r="F56" s="1098"/>
      <c r="G56" s="1105"/>
      <c r="H56" s="1106"/>
      <c r="I56" s="1106"/>
      <c r="J56" s="1106"/>
      <c r="K56" s="1106"/>
      <c r="L56" s="1106"/>
      <c r="M56" s="1106"/>
      <c r="N56" s="1107"/>
      <c r="U56" s="1"/>
    </row>
    <row r="57" spans="2:21" ht="15.75" customHeight="1" x14ac:dyDescent="0.35">
      <c r="B57" s="750"/>
      <c r="D57" s="1097" t="s">
        <v>965</v>
      </c>
      <c r="E57" s="1090"/>
      <c r="F57" s="1098"/>
      <c r="G57" s="1097"/>
      <c r="H57" s="1090"/>
      <c r="I57" s="1090"/>
      <c r="J57" s="1090"/>
      <c r="K57" s="1090"/>
      <c r="L57" s="1090"/>
      <c r="M57" s="1090"/>
      <c r="N57" s="1098"/>
      <c r="U57" s="1"/>
    </row>
    <row r="58" spans="2:21" ht="15.75" customHeight="1" x14ac:dyDescent="0.35">
      <c r="B58" s="750"/>
      <c r="U58" s="1"/>
    </row>
    <row r="59" spans="2:21" ht="15.75" customHeight="1" x14ac:dyDescent="0.35">
      <c r="B59" s="750"/>
      <c r="U59" s="1"/>
    </row>
    <row r="60" spans="2:21" ht="15.75" customHeight="1" x14ac:dyDescent="0.35">
      <c r="B60" s="750"/>
      <c r="U60" s="1"/>
    </row>
    <row r="61" spans="2:21" ht="15.75" customHeight="1" x14ac:dyDescent="0.35">
      <c r="B61" s="750"/>
      <c r="U61" s="1"/>
    </row>
    <row r="62" spans="2:21" ht="15.75" customHeight="1" x14ac:dyDescent="0.35">
      <c r="B62" s="750"/>
      <c r="U62" s="1"/>
    </row>
    <row r="63" spans="2:21" ht="15.75" customHeight="1" x14ac:dyDescent="0.35">
      <c r="B63" s="750"/>
      <c r="U63" s="1"/>
    </row>
    <row r="64" spans="2:21" ht="15.75" customHeight="1" x14ac:dyDescent="0.35">
      <c r="B64" s="750"/>
      <c r="U64" s="1"/>
    </row>
    <row r="65" spans="2:21" ht="15.75" customHeight="1" x14ac:dyDescent="0.35">
      <c r="B65" s="750"/>
      <c r="U65" s="1"/>
    </row>
    <row r="66" spans="2:21" ht="15.75" customHeight="1" x14ac:dyDescent="0.35">
      <c r="B66" s="750"/>
      <c r="U66" s="1"/>
    </row>
    <row r="67" spans="2:21" ht="15.75" customHeight="1" x14ac:dyDescent="0.35">
      <c r="B67" s="750"/>
      <c r="U67" s="1"/>
    </row>
    <row r="68" spans="2:21" ht="15.75" customHeight="1" x14ac:dyDescent="0.35">
      <c r="B68" s="750"/>
      <c r="U68" s="1"/>
    </row>
    <row r="69" spans="2:21" ht="15.75" customHeight="1" x14ac:dyDescent="0.35">
      <c r="B69" s="750"/>
      <c r="U69" s="1"/>
    </row>
    <row r="70" spans="2:21" ht="15.75" customHeight="1" x14ac:dyDescent="0.35">
      <c r="B70" s="750"/>
      <c r="U70" s="1"/>
    </row>
    <row r="71" spans="2:21" ht="15.75" customHeight="1" x14ac:dyDescent="0.35">
      <c r="B71" s="750"/>
      <c r="U71" s="1"/>
    </row>
    <row r="72" spans="2:21" ht="15.75" customHeight="1" x14ac:dyDescent="0.35">
      <c r="B72" s="750"/>
      <c r="U72" s="1"/>
    </row>
    <row r="73" spans="2:21" ht="15.75" customHeight="1" x14ac:dyDescent="0.35">
      <c r="B73" s="750"/>
      <c r="U73" s="1"/>
    </row>
    <row r="74" spans="2:21" ht="15.75" customHeight="1" x14ac:dyDescent="0.35">
      <c r="B74" s="750"/>
      <c r="U74" s="1"/>
    </row>
    <row r="75" spans="2:21" ht="15.75" customHeight="1" x14ac:dyDescent="0.35">
      <c r="B75" s="750"/>
      <c r="U75" s="1"/>
    </row>
    <row r="76" spans="2:21" ht="15.75" customHeight="1" x14ac:dyDescent="0.35">
      <c r="B76" s="750"/>
      <c r="U76" s="1"/>
    </row>
    <row r="77" spans="2:21" ht="15.75" customHeight="1" x14ac:dyDescent="0.35">
      <c r="B77" s="750"/>
      <c r="U77" s="1"/>
    </row>
    <row r="78" spans="2:21" ht="15.75" customHeight="1" x14ac:dyDescent="0.35">
      <c r="B78" s="750"/>
      <c r="U78" s="1"/>
    </row>
    <row r="79" spans="2:21" ht="15.75" customHeight="1" x14ac:dyDescent="0.35">
      <c r="B79" s="750"/>
      <c r="U79" s="1"/>
    </row>
    <row r="80" spans="2:21" ht="15.75" customHeight="1" x14ac:dyDescent="0.35">
      <c r="B80" s="750"/>
      <c r="U80" s="1"/>
    </row>
    <row r="81" spans="2:21" ht="15.75" customHeight="1" x14ac:dyDescent="0.35">
      <c r="B81" s="750"/>
      <c r="U81" s="1"/>
    </row>
    <row r="82" spans="2:21" ht="15.75" customHeight="1" x14ac:dyDescent="0.35">
      <c r="B82" s="750"/>
      <c r="U82" s="1"/>
    </row>
    <row r="83" spans="2:21" ht="15.75" customHeight="1" x14ac:dyDescent="0.35">
      <c r="B83" s="750"/>
      <c r="U83" s="1"/>
    </row>
    <row r="84" spans="2:21" ht="15.75" customHeight="1" x14ac:dyDescent="0.35">
      <c r="B84" s="750"/>
      <c r="U84" s="1"/>
    </row>
    <row r="85" spans="2:21" ht="15.75" customHeight="1" x14ac:dyDescent="0.35">
      <c r="B85" s="750"/>
      <c r="U85" s="1"/>
    </row>
    <row r="86" spans="2:21" ht="15.75" customHeight="1" x14ac:dyDescent="0.35">
      <c r="B86" s="750"/>
      <c r="U86" s="1"/>
    </row>
    <row r="87" spans="2:21" ht="15.75" customHeight="1" x14ac:dyDescent="0.35">
      <c r="B87" s="750"/>
      <c r="U87" s="1"/>
    </row>
    <row r="88" spans="2:21" ht="15.75" customHeight="1" x14ac:dyDescent="0.35">
      <c r="B88" s="750"/>
      <c r="U88" s="1"/>
    </row>
    <row r="89" spans="2:21" ht="15.75" customHeight="1" x14ac:dyDescent="0.35">
      <c r="B89" s="750"/>
      <c r="U89" s="1"/>
    </row>
    <row r="90" spans="2:21" ht="15.75" customHeight="1" x14ac:dyDescent="0.35">
      <c r="B90" s="750"/>
      <c r="U90" s="1"/>
    </row>
    <row r="91" spans="2:21" ht="15.75" customHeight="1" x14ac:dyDescent="0.35">
      <c r="B91" s="750"/>
      <c r="U91" s="1"/>
    </row>
    <row r="92" spans="2:21" ht="15.75" customHeight="1" x14ac:dyDescent="0.35">
      <c r="B92" s="750"/>
      <c r="U92" s="1"/>
    </row>
    <row r="93" spans="2:21" ht="15.75" customHeight="1" x14ac:dyDescent="0.35">
      <c r="B93" s="750"/>
      <c r="U93" s="1"/>
    </row>
    <row r="94" spans="2:21" ht="15.75" customHeight="1" x14ac:dyDescent="0.35">
      <c r="B94" s="750"/>
      <c r="U94" s="1"/>
    </row>
    <row r="95" spans="2:21" ht="15.75" customHeight="1" x14ac:dyDescent="0.35">
      <c r="B95" s="750"/>
      <c r="U95" s="1"/>
    </row>
    <row r="96" spans="2:21" ht="15.75" customHeight="1" x14ac:dyDescent="0.35">
      <c r="B96" s="750"/>
      <c r="U96" s="1"/>
    </row>
    <row r="97" spans="2:21" ht="15.75" customHeight="1" x14ac:dyDescent="0.35">
      <c r="B97" s="750"/>
      <c r="U97" s="1"/>
    </row>
    <row r="98" spans="2:21" ht="15.75" customHeight="1" x14ac:dyDescent="0.35">
      <c r="B98" s="750"/>
      <c r="U98" s="1"/>
    </row>
    <row r="99" spans="2:21" ht="15.75" customHeight="1" x14ac:dyDescent="0.35">
      <c r="B99" s="750"/>
      <c r="U99" s="1"/>
    </row>
    <row r="100" spans="2:21" ht="15.75" customHeight="1" x14ac:dyDescent="0.35">
      <c r="B100" s="750"/>
      <c r="U100" s="1"/>
    </row>
    <row r="101" spans="2:21" ht="15.75" customHeight="1" x14ac:dyDescent="0.35">
      <c r="B101" s="750"/>
      <c r="U101" s="1"/>
    </row>
    <row r="102" spans="2:21" ht="15.75" customHeight="1" x14ac:dyDescent="0.35">
      <c r="B102" s="750"/>
      <c r="U102" s="1"/>
    </row>
    <row r="103" spans="2:21" ht="15.75" customHeight="1" x14ac:dyDescent="0.35">
      <c r="B103" s="750"/>
      <c r="U103" s="1"/>
    </row>
    <row r="104" spans="2:21" ht="15.75" customHeight="1" x14ac:dyDescent="0.35">
      <c r="B104" s="750"/>
      <c r="U104" s="1"/>
    </row>
    <row r="105" spans="2:21" ht="15.75" customHeight="1" x14ac:dyDescent="0.35">
      <c r="B105" s="750"/>
      <c r="U105" s="1"/>
    </row>
    <row r="106" spans="2:21" ht="15.75" customHeight="1" x14ac:dyDescent="0.35">
      <c r="B106" s="750"/>
      <c r="U106" s="1"/>
    </row>
    <row r="107" spans="2:21" ht="15.75" customHeight="1" x14ac:dyDescent="0.35">
      <c r="B107" s="750"/>
      <c r="U107" s="1"/>
    </row>
    <row r="108" spans="2:21" ht="15.75" customHeight="1" x14ac:dyDescent="0.35">
      <c r="B108" s="750"/>
      <c r="U108" s="1"/>
    </row>
    <row r="109" spans="2:21" ht="15.75" customHeight="1" x14ac:dyDescent="0.35">
      <c r="B109" s="750"/>
      <c r="U109" s="1"/>
    </row>
    <row r="110" spans="2:21" ht="15.75" customHeight="1" x14ac:dyDescent="0.35">
      <c r="B110" s="750"/>
      <c r="U110" s="1"/>
    </row>
    <row r="111" spans="2:21" ht="15.75" customHeight="1" x14ac:dyDescent="0.35">
      <c r="B111" s="750"/>
      <c r="U111" s="1"/>
    </row>
    <row r="112" spans="2:21" ht="15.75" customHeight="1" x14ac:dyDescent="0.35">
      <c r="B112" s="750"/>
      <c r="U112" s="1"/>
    </row>
    <row r="113" spans="2:21" ht="15.75" customHeight="1" x14ac:dyDescent="0.35">
      <c r="B113" s="750"/>
      <c r="U113" s="1"/>
    </row>
    <row r="114" spans="2:21" ht="15.75" customHeight="1" x14ac:dyDescent="0.35">
      <c r="B114" s="750"/>
      <c r="U114" s="1"/>
    </row>
    <row r="115" spans="2:21" ht="15.75" customHeight="1" x14ac:dyDescent="0.35">
      <c r="B115" s="750"/>
      <c r="U115" s="1"/>
    </row>
    <row r="116" spans="2:21" ht="15.75" customHeight="1" x14ac:dyDescent="0.35">
      <c r="B116" s="750"/>
      <c r="U116" s="1"/>
    </row>
    <row r="117" spans="2:21" ht="15.75" customHeight="1" x14ac:dyDescent="0.35">
      <c r="B117" s="750"/>
      <c r="U117" s="1"/>
    </row>
    <row r="118" spans="2:21" ht="15.75" customHeight="1" x14ac:dyDescent="0.35">
      <c r="B118" s="750"/>
      <c r="U118" s="1"/>
    </row>
    <row r="119" spans="2:21" ht="15.75" customHeight="1" x14ac:dyDescent="0.35">
      <c r="B119" s="750"/>
      <c r="U119" s="1"/>
    </row>
    <row r="120" spans="2:21" ht="15.75" customHeight="1" x14ac:dyDescent="0.35">
      <c r="B120" s="750"/>
      <c r="U120" s="1"/>
    </row>
    <row r="121" spans="2:21" ht="15.75" customHeight="1" x14ac:dyDescent="0.35">
      <c r="B121" s="750"/>
      <c r="U121" s="1"/>
    </row>
    <row r="122" spans="2:21" ht="15.75" customHeight="1" x14ac:dyDescent="0.35">
      <c r="B122" s="750"/>
      <c r="U122" s="1"/>
    </row>
    <row r="123" spans="2:21" ht="15.75" customHeight="1" x14ac:dyDescent="0.35">
      <c r="B123" s="750"/>
      <c r="U123" s="1"/>
    </row>
    <row r="124" spans="2:21" ht="15.75" customHeight="1" x14ac:dyDescent="0.35">
      <c r="B124" s="750"/>
      <c r="U124" s="1"/>
    </row>
    <row r="125" spans="2:21" ht="15.75" customHeight="1" x14ac:dyDescent="0.35">
      <c r="B125" s="750"/>
      <c r="U125" s="1"/>
    </row>
    <row r="126" spans="2:21" ht="15.75" customHeight="1" x14ac:dyDescent="0.35">
      <c r="B126" s="750"/>
      <c r="U126" s="1"/>
    </row>
    <row r="127" spans="2:21" ht="15.75" customHeight="1" x14ac:dyDescent="0.35">
      <c r="B127" s="750"/>
      <c r="U127" s="1"/>
    </row>
    <row r="128" spans="2:21" ht="15.75" customHeight="1" x14ac:dyDescent="0.35">
      <c r="B128" s="750"/>
      <c r="U128" s="1"/>
    </row>
    <row r="129" spans="2:21" ht="15.75" customHeight="1" x14ac:dyDescent="0.35">
      <c r="B129" s="750"/>
      <c r="U129" s="1"/>
    </row>
    <row r="130" spans="2:21" ht="15.75" customHeight="1" x14ac:dyDescent="0.35">
      <c r="B130" s="750"/>
      <c r="U130" s="1"/>
    </row>
    <row r="131" spans="2:21" ht="15.75" customHeight="1" x14ac:dyDescent="0.35">
      <c r="B131" s="750"/>
      <c r="U131" s="1"/>
    </row>
    <row r="132" spans="2:21" ht="15.75" customHeight="1" x14ac:dyDescent="0.35">
      <c r="B132" s="750"/>
      <c r="U132" s="1"/>
    </row>
    <row r="133" spans="2:21" ht="15.75" customHeight="1" x14ac:dyDescent="0.35">
      <c r="B133" s="750"/>
      <c r="U133" s="1"/>
    </row>
    <row r="134" spans="2:21" ht="15.75" customHeight="1" x14ac:dyDescent="0.35">
      <c r="B134" s="750"/>
      <c r="U134" s="1"/>
    </row>
    <row r="135" spans="2:21" ht="15.75" customHeight="1" x14ac:dyDescent="0.35">
      <c r="B135" s="750"/>
      <c r="U135" s="1"/>
    </row>
    <row r="136" spans="2:21" ht="15.75" customHeight="1" x14ac:dyDescent="0.35">
      <c r="B136" s="750"/>
      <c r="U136" s="1"/>
    </row>
    <row r="137" spans="2:21" ht="15.75" customHeight="1" x14ac:dyDescent="0.35">
      <c r="B137" s="750"/>
      <c r="U137" s="1"/>
    </row>
    <row r="138" spans="2:21" ht="15.75" customHeight="1" x14ac:dyDescent="0.35">
      <c r="B138" s="750"/>
      <c r="U138" s="1"/>
    </row>
    <row r="139" spans="2:21" ht="15.75" customHeight="1" x14ac:dyDescent="0.35">
      <c r="B139" s="750"/>
      <c r="U139" s="1"/>
    </row>
    <row r="140" spans="2:21" ht="15.75" customHeight="1" x14ac:dyDescent="0.35">
      <c r="B140" s="750"/>
      <c r="U140" s="1"/>
    </row>
    <row r="141" spans="2:21" ht="15.75" customHeight="1" x14ac:dyDescent="0.35">
      <c r="B141" s="750"/>
      <c r="U141" s="1"/>
    </row>
    <row r="142" spans="2:21" ht="15.75" customHeight="1" x14ac:dyDescent="0.35">
      <c r="B142" s="750"/>
      <c r="U142" s="1"/>
    </row>
    <row r="143" spans="2:21" ht="15.75" customHeight="1" x14ac:dyDescent="0.35">
      <c r="B143" s="750"/>
      <c r="U143" s="1"/>
    </row>
    <row r="144" spans="2:21" ht="15.75" customHeight="1" x14ac:dyDescent="0.35">
      <c r="B144" s="750"/>
      <c r="U144" s="1"/>
    </row>
    <row r="145" spans="2:21" ht="15.75" customHeight="1" x14ac:dyDescent="0.35">
      <c r="B145" s="750"/>
      <c r="U145" s="1"/>
    </row>
    <row r="146" spans="2:21" ht="15.75" customHeight="1" x14ac:dyDescent="0.35">
      <c r="B146" s="750"/>
      <c r="U146" s="1"/>
    </row>
    <row r="147" spans="2:21" ht="15.75" customHeight="1" x14ac:dyDescent="0.35">
      <c r="B147" s="750"/>
      <c r="U147" s="1"/>
    </row>
    <row r="148" spans="2:21" ht="15.75" customHeight="1" x14ac:dyDescent="0.35">
      <c r="B148" s="750"/>
      <c r="U148" s="1"/>
    </row>
    <row r="149" spans="2:21" ht="15.75" customHeight="1" x14ac:dyDescent="0.35">
      <c r="B149" s="750"/>
      <c r="U149" s="1"/>
    </row>
    <row r="150" spans="2:21" ht="15.75" customHeight="1" x14ac:dyDescent="0.35">
      <c r="B150" s="750"/>
      <c r="U150" s="1"/>
    </row>
    <row r="151" spans="2:21" ht="15.75" customHeight="1" x14ac:dyDescent="0.35">
      <c r="B151" s="750"/>
      <c r="U151" s="1"/>
    </row>
    <row r="152" spans="2:21" ht="15.75" customHeight="1" x14ac:dyDescent="0.35">
      <c r="B152" s="750"/>
      <c r="U152" s="1"/>
    </row>
    <row r="153" spans="2:21" ht="15.75" customHeight="1" x14ac:dyDescent="0.35">
      <c r="B153" s="750"/>
      <c r="U153" s="1"/>
    </row>
    <row r="154" spans="2:21" ht="15.75" customHeight="1" x14ac:dyDescent="0.35">
      <c r="B154" s="750"/>
      <c r="U154" s="1"/>
    </row>
    <row r="155" spans="2:21" ht="15.75" customHeight="1" x14ac:dyDescent="0.35">
      <c r="B155" s="750"/>
      <c r="U155" s="1"/>
    </row>
    <row r="156" spans="2:21" ht="15.75" customHeight="1" x14ac:dyDescent="0.35">
      <c r="B156" s="750"/>
      <c r="U156" s="1"/>
    </row>
    <row r="157" spans="2:21" ht="15.75" customHeight="1" x14ac:dyDescent="0.35">
      <c r="B157" s="750"/>
      <c r="U157" s="1"/>
    </row>
    <row r="158" spans="2:21" ht="15.75" customHeight="1" x14ac:dyDescent="0.35">
      <c r="B158" s="750"/>
      <c r="U158" s="1"/>
    </row>
    <row r="159" spans="2:21" ht="15.75" customHeight="1" x14ac:dyDescent="0.35">
      <c r="B159" s="750"/>
      <c r="U159" s="1"/>
    </row>
    <row r="160" spans="2:21" ht="15.75" customHeight="1" x14ac:dyDescent="0.35">
      <c r="B160" s="750"/>
      <c r="U160" s="1"/>
    </row>
    <row r="161" spans="2:21" ht="15.75" customHeight="1" x14ac:dyDescent="0.35">
      <c r="B161" s="750"/>
      <c r="U161" s="1"/>
    </row>
    <row r="162" spans="2:21" ht="15.75" customHeight="1" x14ac:dyDescent="0.35">
      <c r="B162" s="750"/>
      <c r="U162" s="1"/>
    </row>
    <row r="163" spans="2:21" ht="15.75" customHeight="1" x14ac:dyDescent="0.35">
      <c r="B163" s="750"/>
      <c r="U163" s="1"/>
    </row>
    <row r="164" spans="2:21" ht="15.75" customHeight="1" x14ac:dyDescent="0.35">
      <c r="B164" s="750"/>
      <c r="U164" s="1"/>
    </row>
    <row r="165" spans="2:21" ht="15.75" customHeight="1" x14ac:dyDescent="0.35">
      <c r="B165" s="750"/>
      <c r="U165" s="1"/>
    </row>
    <row r="166" spans="2:21" ht="15.75" customHeight="1" x14ac:dyDescent="0.35">
      <c r="B166" s="750"/>
      <c r="U166" s="1"/>
    </row>
    <row r="167" spans="2:21" ht="15.75" customHeight="1" x14ac:dyDescent="0.35">
      <c r="B167" s="750"/>
      <c r="U167" s="1"/>
    </row>
    <row r="168" spans="2:21" ht="15.75" customHeight="1" x14ac:dyDescent="0.35">
      <c r="B168" s="750"/>
      <c r="U168" s="1"/>
    </row>
    <row r="169" spans="2:21" ht="15.75" customHeight="1" x14ac:dyDescent="0.35">
      <c r="B169" s="750"/>
      <c r="U169" s="1"/>
    </row>
    <row r="170" spans="2:21" ht="15.75" customHeight="1" x14ac:dyDescent="0.35">
      <c r="B170" s="750"/>
      <c r="U170" s="1"/>
    </row>
    <row r="171" spans="2:21" ht="15.75" customHeight="1" x14ac:dyDescent="0.35">
      <c r="B171" s="750"/>
      <c r="U171" s="1"/>
    </row>
    <row r="172" spans="2:21" ht="15.75" customHeight="1" x14ac:dyDescent="0.35">
      <c r="B172" s="750"/>
      <c r="U172" s="1"/>
    </row>
    <row r="173" spans="2:21" ht="15.75" customHeight="1" x14ac:dyDescent="0.35">
      <c r="B173" s="750"/>
      <c r="U173" s="1"/>
    </row>
    <row r="174" spans="2:21" ht="15.75" customHeight="1" x14ac:dyDescent="0.35">
      <c r="B174" s="750"/>
      <c r="U174" s="1"/>
    </row>
    <row r="175" spans="2:21" ht="15.75" customHeight="1" x14ac:dyDescent="0.35">
      <c r="B175" s="750"/>
      <c r="U175" s="1"/>
    </row>
    <row r="176" spans="2:21" ht="15.75" customHeight="1" x14ac:dyDescent="0.35">
      <c r="B176" s="750"/>
      <c r="U176" s="1"/>
    </row>
    <row r="177" spans="2:21" ht="15.75" customHeight="1" x14ac:dyDescent="0.35">
      <c r="B177" s="750"/>
      <c r="U177" s="1"/>
    </row>
    <row r="178" spans="2:21" ht="15.75" customHeight="1" x14ac:dyDescent="0.35">
      <c r="B178" s="750"/>
      <c r="U178" s="1"/>
    </row>
    <row r="179" spans="2:21" ht="15.75" customHeight="1" x14ac:dyDescent="0.35">
      <c r="B179" s="750"/>
      <c r="U179" s="1"/>
    </row>
    <row r="180" spans="2:21" ht="15.75" customHeight="1" x14ac:dyDescent="0.35">
      <c r="B180" s="750"/>
      <c r="U180" s="1"/>
    </row>
    <row r="181" spans="2:21" ht="15.75" customHeight="1" x14ac:dyDescent="0.35">
      <c r="B181" s="750"/>
      <c r="U181" s="1"/>
    </row>
    <row r="182" spans="2:21" ht="15.75" customHeight="1" x14ac:dyDescent="0.35">
      <c r="B182" s="750"/>
      <c r="U182" s="1"/>
    </row>
    <row r="183" spans="2:21" ht="15.75" customHeight="1" x14ac:dyDescent="0.35">
      <c r="B183" s="750"/>
      <c r="U183" s="1"/>
    </row>
    <row r="184" spans="2:21" ht="15.75" customHeight="1" x14ac:dyDescent="0.35">
      <c r="B184" s="750"/>
      <c r="U184" s="1"/>
    </row>
    <row r="185" spans="2:21" ht="15.75" customHeight="1" x14ac:dyDescent="0.35">
      <c r="B185" s="750"/>
      <c r="U185" s="1"/>
    </row>
    <row r="186" spans="2:21" ht="15.75" customHeight="1" x14ac:dyDescent="0.35">
      <c r="B186" s="750"/>
      <c r="U186" s="1"/>
    </row>
    <row r="187" spans="2:21" ht="15.75" customHeight="1" x14ac:dyDescent="0.35">
      <c r="B187" s="750"/>
      <c r="U187" s="1"/>
    </row>
    <row r="188" spans="2:21" ht="15.75" customHeight="1" x14ac:dyDescent="0.35">
      <c r="B188" s="750"/>
      <c r="U188" s="1"/>
    </row>
    <row r="189" spans="2:21" ht="15.75" customHeight="1" x14ac:dyDescent="0.35">
      <c r="B189" s="750"/>
      <c r="U189" s="1"/>
    </row>
    <row r="190" spans="2:21" ht="15.75" customHeight="1" x14ac:dyDescent="0.35">
      <c r="B190" s="750"/>
      <c r="U190" s="1"/>
    </row>
    <row r="191" spans="2:21" ht="15.75" customHeight="1" x14ac:dyDescent="0.35">
      <c r="B191" s="750"/>
      <c r="U191" s="1"/>
    </row>
    <row r="192" spans="2:21" ht="15.75" customHeight="1" x14ac:dyDescent="0.35">
      <c r="B192" s="750"/>
      <c r="U192" s="1"/>
    </row>
    <row r="193" spans="2:21" ht="15.75" customHeight="1" x14ac:dyDescent="0.35">
      <c r="B193" s="750"/>
      <c r="U193" s="1"/>
    </row>
    <row r="194" spans="2:21" ht="15.75" customHeight="1" x14ac:dyDescent="0.35">
      <c r="B194" s="750"/>
      <c r="U194" s="1"/>
    </row>
    <row r="195" spans="2:21" ht="15.75" customHeight="1" x14ac:dyDescent="0.35">
      <c r="B195" s="750"/>
      <c r="U195" s="1"/>
    </row>
    <row r="196" spans="2:21" ht="15.75" customHeight="1" x14ac:dyDescent="0.35">
      <c r="B196" s="750"/>
      <c r="U196" s="1"/>
    </row>
    <row r="197" spans="2:21" ht="15.75" customHeight="1" x14ac:dyDescent="0.35">
      <c r="B197" s="750"/>
      <c r="U197" s="1"/>
    </row>
    <row r="198" spans="2:21" ht="15.75" customHeight="1" x14ac:dyDescent="0.35">
      <c r="B198" s="750"/>
      <c r="U198" s="1"/>
    </row>
    <row r="199" spans="2:21" ht="15.75" customHeight="1" x14ac:dyDescent="0.35">
      <c r="B199" s="750"/>
      <c r="U199" s="1"/>
    </row>
    <row r="200" spans="2:21" ht="15.75" customHeight="1" x14ac:dyDescent="0.35">
      <c r="B200" s="750"/>
      <c r="U200" s="1"/>
    </row>
    <row r="201" spans="2:21" ht="15.75" customHeight="1" x14ac:dyDescent="0.35">
      <c r="B201" s="750"/>
      <c r="U201" s="1"/>
    </row>
    <row r="202" spans="2:21" ht="15.75" customHeight="1" x14ac:dyDescent="0.35">
      <c r="B202" s="750"/>
      <c r="U202" s="1"/>
    </row>
    <row r="203" spans="2:21" ht="15.75" customHeight="1" x14ac:dyDescent="0.35">
      <c r="B203" s="750"/>
      <c r="U203" s="1"/>
    </row>
    <row r="204" spans="2:21" ht="15.75" customHeight="1" x14ac:dyDescent="0.35">
      <c r="B204" s="750"/>
      <c r="U204" s="1"/>
    </row>
    <row r="205" spans="2:21" ht="15.75" customHeight="1" x14ac:dyDescent="0.35">
      <c r="B205" s="750"/>
      <c r="U205" s="1"/>
    </row>
    <row r="206" spans="2:21" ht="15.75" customHeight="1" x14ac:dyDescent="0.35">
      <c r="B206" s="750"/>
      <c r="U206" s="1"/>
    </row>
    <row r="207" spans="2:21" ht="15.75" customHeight="1" x14ac:dyDescent="0.35">
      <c r="B207" s="750"/>
      <c r="U207" s="1"/>
    </row>
    <row r="208" spans="2:21" ht="15.75" customHeight="1" x14ac:dyDescent="0.35">
      <c r="B208" s="750"/>
      <c r="U208" s="1"/>
    </row>
    <row r="209" spans="2:21" ht="15.75" customHeight="1" x14ac:dyDescent="0.35">
      <c r="B209" s="750"/>
      <c r="U209" s="1"/>
    </row>
    <row r="210" spans="2:21" ht="15.75" customHeight="1" x14ac:dyDescent="0.35">
      <c r="B210" s="750"/>
      <c r="U210" s="1"/>
    </row>
    <row r="211" spans="2:21" ht="15.75" customHeight="1" x14ac:dyDescent="0.35">
      <c r="B211" s="750"/>
      <c r="U211" s="1"/>
    </row>
    <row r="212" spans="2:21" ht="15.75" customHeight="1" x14ac:dyDescent="0.35">
      <c r="B212" s="750"/>
      <c r="U212" s="1"/>
    </row>
    <row r="213" spans="2:21" ht="15.75" customHeight="1" x14ac:dyDescent="0.35">
      <c r="B213" s="750"/>
      <c r="U213" s="1"/>
    </row>
    <row r="214" spans="2:21" ht="15.75" customHeight="1" x14ac:dyDescent="0.35">
      <c r="B214" s="750"/>
      <c r="U214" s="1"/>
    </row>
    <row r="215" spans="2:21" ht="15.75" customHeight="1" x14ac:dyDescent="0.35">
      <c r="B215" s="750"/>
      <c r="U215" s="1"/>
    </row>
    <row r="216" spans="2:21" ht="15.75" customHeight="1" x14ac:dyDescent="0.35">
      <c r="B216" s="750"/>
      <c r="U216" s="1"/>
    </row>
    <row r="217" spans="2:21" ht="15.75" customHeight="1" x14ac:dyDescent="0.35">
      <c r="B217" s="750"/>
      <c r="U217" s="1"/>
    </row>
    <row r="218" spans="2:21" ht="15.75" customHeight="1" x14ac:dyDescent="0.35">
      <c r="B218" s="750"/>
      <c r="U218" s="1"/>
    </row>
    <row r="219" spans="2:21" ht="15.75" customHeight="1" x14ac:dyDescent="0.35">
      <c r="B219" s="750"/>
      <c r="U219" s="1"/>
    </row>
    <row r="220" spans="2:21" ht="15.75" customHeight="1" x14ac:dyDescent="0.35">
      <c r="B220" s="750"/>
      <c r="U220" s="1"/>
    </row>
    <row r="221" spans="2:21" ht="15.75" customHeight="1" x14ac:dyDescent="0.35">
      <c r="B221" s="750"/>
      <c r="U221" s="1"/>
    </row>
    <row r="222" spans="2:21" ht="15.75" customHeight="1" x14ac:dyDescent="0.35">
      <c r="B222" s="750"/>
      <c r="U222" s="1"/>
    </row>
    <row r="223" spans="2:21" ht="15.75" customHeight="1" x14ac:dyDescent="0.35">
      <c r="B223" s="750"/>
      <c r="U223" s="1"/>
    </row>
    <row r="224" spans="2:21" ht="15.75" customHeight="1" x14ac:dyDescent="0.35">
      <c r="B224" s="750"/>
      <c r="U224" s="1"/>
    </row>
    <row r="225" spans="2:21" ht="15.75" customHeight="1" x14ac:dyDescent="0.35">
      <c r="B225" s="750"/>
      <c r="U225" s="1"/>
    </row>
    <row r="226" spans="2:21" ht="15.75" customHeight="1" x14ac:dyDescent="0.35">
      <c r="B226" s="750"/>
      <c r="U226" s="1"/>
    </row>
    <row r="227" spans="2:21" ht="15.75" customHeight="1" x14ac:dyDescent="0.35">
      <c r="B227" s="750"/>
      <c r="U227" s="1"/>
    </row>
    <row r="228" spans="2:21" ht="15.75" customHeight="1" x14ac:dyDescent="0.35">
      <c r="B228" s="750"/>
      <c r="U228" s="1"/>
    </row>
    <row r="229" spans="2:21" ht="15.75" customHeight="1" x14ac:dyDescent="0.35">
      <c r="B229" s="750"/>
      <c r="U229" s="1"/>
    </row>
    <row r="230" spans="2:21" ht="15.75" customHeight="1" x14ac:dyDescent="0.35">
      <c r="B230" s="750"/>
      <c r="U230" s="1"/>
    </row>
    <row r="231" spans="2:21" ht="15.75" customHeight="1" x14ac:dyDescent="0.35">
      <c r="B231" s="750"/>
      <c r="U231" s="1"/>
    </row>
    <row r="232" spans="2:21" ht="15.75" customHeight="1" x14ac:dyDescent="0.35">
      <c r="B232" s="750"/>
      <c r="U232" s="1"/>
    </row>
    <row r="233" spans="2:21" ht="15.75" customHeight="1" x14ac:dyDescent="0.35">
      <c r="B233" s="750"/>
      <c r="U233" s="1"/>
    </row>
    <row r="234" spans="2:21" ht="15.75" customHeight="1" x14ac:dyDescent="0.35">
      <c r="B234" s="750"/>
      <c r="U234" s="1"/>
    </row>
    <row r="235" spans="2:21" ht="15.75" customHeight="1" x14ac:dyDescent="0.35">
      <c r="B235" s="750"/>
      <c r="U235" s="1"/>
    </row>
    <row r="236" spans="2:21" ht="15.75" customHeight="1" x14ac:dyDescent="0.35">
      <c r="B236" s="750"/>
      <c r="U236" s="1"/>
    </row>
    <row r="237" spans="2:21" ht="15.75" customHeight="1" x14ac:dyDescent="0.35">
      <c r="B237" s="750"/>
      <c r="U237" s="1"/>
    </row>
    <row r="238" spans="2:21" ht="15.75" customHeight="1" x14ac:dyDescent="0.35">
      <c r="B238" s="750"/>
      <c r="U238" s="1"/>
    </row>
    <row r="239" spans="2:21" ht="15.75" customHeight="1" x14ac:dyDescent="0.35">
      <c r="B239" s="750"/>
      <c r="U239" s="1"/>
    </row>
    <row r="240" spans="2:21" ht="15.75" customHeight="1" x14ac:dyDescent="0.35">
      <c r="B240" s="750"/>
      <c r="U240" s="1"/>
    </row>
    <row r="241" spans="2:21" ht="15.75" customHeight="1" x14ac:dyDescent="0.35">
      <c r="B241" s="750"/>
      <c r="U241" s="1"/>
    </row>
    <row r="242" spans="2:21" ht="15.75" customHeight="1" x14ac:dyDescent="0.35">
      <c r="B242" s="750"/>
      <c r="U242" s="1"/>
    </row>
    <row r="243" spans="2:21" ht="15.75" customHeight="1" x14ac:dyDescent="0.35">
      <c r="B243" s="750"/>
      <c r="U243" s="1"/>
    </row>
    <row r="244" spans="2:21" ht="15.75" customHeight="1" x14ac:dyDescent="0.35">
      <c r="B244" s="750"/>
      <c r="U244" s="1"/>
    </row>
    <row r="245" spans="2:21" ht="15.75" customHeight="1" x14ac:dyDescent="0.35">
      <c r="B245" s="750"/>
      <c r="U245" s="1"/>
    </row>
    <row r="246" spans="2:21" ht="15.75" customHeight="1" x14ac:dyDescent="0.35">
      <c r="B246" s="750"/>
      <c r="U246" s="1"/>
    </row>
    <row r="247" spans="2:21" ht="15.75" customHeight="1" x14ac:dyDescent="0.35">
      <c r="B247" s="750"/>
      <c r="U247" s="1"/>
    </row>
    <row r="248" spans="2:21" ht="15.75" customHeight="1" x14ac:dyDescent="0.35">
      <c r="B248" s="750"/>
      <c r="U248" s="1"/>
    </row>
    <row r="249" spans="2:21" ht="15.75" customHeight="1" x14ac:dyDescent="0.35">
      <c r="B249" s="750"/>
      <c r="U249" s="1"/>
    </row>
    <row r="250" spans="2:21" ht="15.75" customHeight="1" x14ac:dyDescent="0.35">
      <c r="B250" s="750"/>
      <c r="U250" s="1"/>
    </row>
    <row r="251" spans="2:21" ht="15.75" customHeight="1" x14ac:dyDescent="0.35">
      <c r="B251" s="750"/>
      <c r="U251" s="1"/>
    </row>
    <row r="252" spans="2:21" ht="15.75" customHeight="1" x14ac:dyDescent="0.35">
      <c r="B252" s="750"/>
      <c r="U252" s="1"/>
    </row>
    <row r="253" spans="2:21" ht="15.75" customHeight="1" x14ac:dyDescent="0.35">
      <c r="B253" s="750"/>
      <c r="U253" s="1"/>
    </row>
    <row r="254" spans="2:21" ht="15.75" customHeight="1" x14ac:dyDescent="0.35">
      <c r="B254" s="750"/>
      <c r="U254" s="1"/>
    </row>
    <row r="255" spans="2:21" ht="15.75" customHeight="1" x14ac:dyDescent="0.35">
      <c r="B255" s="750"/>
      <c r="U255" s="1"/>
    </row>
    <row r="256" spans="2:21" ht="15.75" customHeight="1" x14ac:dyDescent="0.35">
      <c r="B256" s="750"/>
      <c r="U256" s="1"/>
    </row>
    <row r="257" spans="2:2" ht="15.75" customHeight="1" x14ac:dyDescent="0.35">
      <c r="B257" s="750"/>
    </row>
    <row r="258" spans="2:2" ht="15.75" customHeight="1" x14ac:dyDescent="0.35">
      <c r="B258" s="750"/>
    </row>
    <row r="259" spans="2:2" ht="15.75" customHeight="1" x14ac:dyDescent="0.35">
      <c r="B259" s="750"/>
    </row>
    <row r="260" spans="2:2" ht="15.75" customHeight="1" x14ac:dyDescent="0.35">
      <c r="B260" s="750"/>
    </row>
    <row r="261" spans="2:2" ht="15.75" customHeight="1" x14ac:dyDescent="0.35">
      <c r="B261" s="750"/>
    </row>
    <row r="262" spans="2:2" ht="15.75" customHeight="1" x14ac:dyDescent="0.35">
      <c r="B262" s="750"/>
    </row>
    <row r="263" spans="2:2" ht="15.75" customHeight="1" x14ac:dyDescent="0.35">
      <c r="B263" s="750"/>
    </row>
    <row r="264" spans="2:2" ht="15.75" customHeight="1" x14ac:dyDescent="0.35">
      <c r="B264" s="750"/>
    </row>
    <row r="265" spans="2:2" ht="15.75" customHeight="1" x14ac:dyDescent="0.35">
      <c r="B265" s="750"/>
    </row>
    <row r="266" spans="2:2" ht="15.75" customHeight="1" x14ac:dyDescent="0.35">
      <c r="B266" s="750"/>
    </row>
    <row r="267" spans="2:2" ht="15.75" customHeight="1" x14ac:dyDescent="0.35">
      <c r="B267" s="750"/>
    </row>
    <row r="268" spans="2:2" ht="15.75" customHeight="1" x14ac:dyDescent="0.35">
      <c r="B268" s="750"/>
    </row>
    <row r="269" spans="2:2" ht="15.75" customHeight="1" x14ac:dyDescent="0.35">
      <c r="B269" s="750"/>
    </row>
    <row r="270" spans="2:2" ht="15.75" customHeight="1" x14ac:dyDescent="0.35">
      <c r="B270" s="750"/>
    </row>
    <row r="271" spans="2:2" ht="15.75" customHeight="1" x14ac:dyDescent="0.35">
      <c r="B271" s="750"/>
    </row>
    <row r="272" spans="2:2" ht="15.75" customHeight="1" x14ac:dyDescent="0.35">
      <c r="B272" s="750"/>
    </row>
    <row r="273" spans="2:2" ht="15.75" customHeight="1" x14ac:dyDescent="0.35">
      <c r="B273" s="750"/>
    </row>
    <row r="274" spans="2:2" ht="15.75" customHeight="1" x14ac:dyDescent="0.35">
      <c r="B274" s="750"/>
    </row>
    <row r="275" spans="2:2" ht="15.75" customHeight="1" x14ac:dyDescent="0.35">
      <c r="B275" s="750"/>
    </row>
    <row r="276" spans="2:2" ht="15.75" customHeight="1" x14ac:dyDescent="0.35">
      <c r="B276" s="750"/>
    </row>
    <row r="277" spans="2:2" ht="15.75" customHeight="1" x14ac:dyDescent="0.35">
      <c r="B277" s="750"/>
    </row>
    <row r="278" spans="2:2" ht="15.75" customHeight="1" x14ac:dyDescent="0.35">
      <c r="B278" s="750"/>
    </row>
    <row r="279" spans="2:2" ht="15.75" customHeight="1" x14ac:dyDescent="0.35">
      <c r="B279" s="750"/>
    </row>
    <row r="280" spans="2:2" ht="15.75" customHeight="1" x14ac:dyDescent="0.35">
      <c r="B280" s="750"/>
    </row>
    <row r="281" spans="2:2" ht="15.75" customHeight="1" x14ac:dyDescent="0.35">
      <c r="B281" s="750"/>
    </row>
    <row r="282" spans="2:2" ht="15.75" customHeight="1" x14ac:dyDescent="0.35">
      <c r="B282" s="750"/>
    </row>
    <row r="283" spans="2:2" ht="15.75" customHeight="1" x14ac:dyDescent="0.35">
      <c r="B283" s="750"/>
    </row>
    <row r="284" spans="2:2" ht="15.75" customHeight="1" x14ac:dyDescent="0.35">
      <c r="B284" s="750"/>
    </row>
    <row r="285" spans="2:2" ht="15.75" customHeight="1" x14ac:dyDescent="0.35">
      <c r="B285" s="750"/>
    </row>
    <row r="286" spans="2:2" ht="15.75" customHeight="1" x14ac:dyDescent="0.35">
      <c r="B286" s="750"/>
    </row>
    <row r="287" spans="2:2" ht="15.75" customHeight="1" x14ac:dyDescent="0.35">
      <c r="B287" s="750"/>
    </row>
    <row r="288" spans="2:2" ht="15.75" customHeight="1" x14ac:dyDescent="0.35">
      <c r="B288" s="750"/>
    </row>
    <row r="289" spans="2:2" ht="15.75" customHeight="1" x14ac:dyDescent="0.35">
      <c r="B289" s="750"/>
    </row>
    <row r="290" spans="2:2" ht="15.75" customHeight="1" x14ac:dyDescent="0.35">
      <c r="B290" s="750"/>
    </row>
    <row r="291" spans="2:2" ht="15.75" customHeight="1" x14ac:dyDescent="0.35">
      <c r="B291" s="750"/>
    </row>
    <row r="292" spans="2:2" ht="15.75" customHeight="1" x14ac:dyDescent="0.35">
      <c r="B292" s="750"/>
    </row>
    <row r="293" spans="2:2" ht="15.75" customHeight="1" x14ac:dyDescent="0.35">
      <c r="B293" s="750"/>
    </row>
    <row r="294" spans="2:2" ht="15.75" customHeight="1" x14ac:dyDescent="0.35">
      <c r="B294" s="750"/>
    </row>
    <row r="295" spans="2:2" ht="15.75" customHeight="1" x14ac:dyDescent="0.35">
      <c r="B295" s="750"/>
    </row>
    <row r="296" spans="2:2" ht="15.75" customHeight="1" x14ac:dyDescent="0.35">
      <c r="B296" s="750"/>
    </row>
    <row r="297" spans="2:2" ht="15.75" customHeight="1" x14ac:dyDescent="0.35">
      <c r="B297" s="750"/>
    </row>
    <row r="298" spans="2:2" ht="15.75" customHeight="1" x14ac:dyDescent="0.35">
      <c r="B298" s="750"/>
    </row>
    <row r="299" spans="2:2" ht="15.75" customHeight="1" x14ac:dyDescent="0.35">
      <c r="B299" s="750"/>
    </row>
    <row r="300" spans="2:2" ht="15.75" customHeight="1" x14ac:dyDescent="0.35">
      <c r="B300" s="750"/>
    </row>
    <row r="301" spans="2:2" ht="15.75" customHeight="1" x14ac:dyDescent="0.35">
      <c r="B301" s="750"/>
    </row>
    <row r="302" spans="2:2" ht="15.75" customHeight="1" x14ac:dyDescent="0.35">
      <c r="B302" s="750"/>
    </row>
    <row r="303" spans="2:2" ht="15.75" customHeight="1" x14ac:dyDescent="0.35">
      <c r="B303" s="750"/>
    </row>
    <row r="304" spans="2:2" ht="15.75" customHeight="1" x14ac:dyDescent="0.35">
      <c r="B304" s="750"/>
    </row>
    <row r="305" spans="2:2" ht="15.75" customHeight="1" x14ac:dyDescent="0.35">
      <c r="B305" s="750"/>
    </row>
    <row r="306" spans="2:2" ht="15.75" customHeight="1" x14ac:dyDescent="0.35">
      <c r="B306" s="750"/>
    </row>
    <row r="307" spans="2:2" ht="15.75" customHeight="1" x14ac:dyDescent="0.35">
      <c r="B307" s="750"/>
    </row>
    <row r="308" spans="2:2" ht="15.75" customHeight="1" x14ac:dyDescent="0.35">
      <c r="B308" s="750"/>
    </row>
    <row r="309" spans="2:2" ht="15.75" customHeight="1" x14ac:dyDescent="0.35">
      <c r="B309" s="750"/>
    </row>
    <row r="310" spans="2:2" ht="15.75" customHeight="1" x14ac:dyDescent="0.35">
      <c r="B310" s="750"/>
    </row>
    <row r="311" spans="2:2" ht="15.75" customHeight="1" x14ac:dyDescent="0.35">
      <c r="B311" s="750"/>
    </row>
    <row r="312" spans="2:2" ht="15.75" customHeight="1" x14ac:dyDescent="0.35">
      <c r="B312" s="750"/>
    </row>
    <row r="313" spans="2:2" ht="15.75" customHeight="1" x14ac:dyDescent="0.35">
      <c r="B313" s="750"/>
    </row>
    <row r="314" spans="2:2" ht="15.75" customHeight="1" x14ac:dyDescent="0.35">
      <c r="B314" s="750"/>
    </row>
    <row r="315" spans="2:2" ht="15.75" customHeight="1" x14ac:dyDescent="0.35">
      <c r="B315" s="750"/>
    </row>
    <row r="316" spans="2:2" ht="15.75" customHeight="1" x14ac:dyDescent="0.35">
      <c r="B316" s="750"/>
    </row>
    <row r="317" spans="2:2" ht="15.75" customHeight="1" x14ac:dyDescent="0.35">
      <c r="B317" s="750"/>
    </row>
    <row r="318" spans="2:2" ht="15.75" customHeight="1" x14ac:dyDescent="0.35">
      <c r="B318" s="750"/>
    </row>
    <row r="319" spans="2:2" ht="15.75" customHeight="1" x14ac:dyDescent="0.35">
      <c r="B319" s="750"/>
    </row>
    <row r="320" spans="2:2" ht="15.75" customHeight="1" x14ac:dyDescent="0.35">
      <c r="B320" s="750"/>
    </row>
    <row r="321" spans="2:2" ht="15.75" customHeight="1" x14ac:dyDescent="0.35">
      <c r="B321" s="750"/>
    </row>
    <row r="322" spans="2:2" ht="15.75" customHeight="1" x14ac:dyDescent="0.35">
      <c r="B322" s="750"/>
    </row>
    <row r="323" spans="2:2" ht="15.75" customHeight="1" x14ac:dyDescent="0.35">
      <c r="B323" s="750"/>
    </row>
    <row r="324" spans="2:2" ht="15.75" customHeight="1" x14ac:dyDescent="0.35">
      <c r="B324" s="750"/>
    </row>
    <row r="325" spans="2:2" ht="15.75" customHeight="1" x14ac:dyDescent="0.35">
      <c r="B325" s="750"/>
    </row>
    <row r="326" spans="2:2" ht="15.75" customHeight="1" x14ac:dyDescent="0.35">
      <c r="B326" s="750"/>
    </row>
    <row r="327" spans="2:2" ht="15.75" customHeight="1" x14ac:dyDescent="0.35">
      <c r="B327" s="750"/>
    </row>
    <row r="328" spans="2:2" ht="15.75" customHeight="1" x14ac:dyDescent="0.35">
      <c r="B328" s="750"/>
    </row>
    <row r="329" spans="2:2" ht="15.75" customHeight="1" x14ac:dyDescent="0.35">
      <c r="B329" s="750"/>
    </row>
    <row r="330" spans="2:2" ht="15.75" customHeight="1" x14ac:dyDescent="0.35">
      <c r="B330" s="750"/>
    </row>
    <row r="331" spans="2:2" ht="15.75" customHeight="1" x14ac:dyDescent="0.35">
      <c r="B331" s="750"/>
    </row>
    <row r="332" spans="2:2" ht="15.75" customHeight="1" x14ac:dyDescent="0.35">
      <c r="B332" s="750"/>
    </row>
    <row r="333" spans="2:2" ht="15.75" customHeight="1" x14ac:dyDescent="0.35">
      <c r="B333" s="750"/>
    </row>
    <row r="334" spans="2:2" ht="15.75" customHeight="1" x14ac:dyDescent="0.35">
      <c r="B334" s="750"/>
    </row>
    <row r="335" spans="2:2" ht="15.75" customHeight="1" x14ac:dyDescent="0.35">
      <c r="B335" s="750"/>
    </row>
    <row r="336" spans="2:2" ht="15.75" customHeight="1" x14ac:dyDescent="0.35">
      <c r="B336" s="750"/>
    </row>
    <row r="337" spans="2:2" ht="15.75" customHeight="1" x14ac:dyDescent="0.35">
      <c r="B337" s="750"/>
    </row>
    <row r="338" spans="2:2" ht="15.75" customHeight="1" x14ac:dyDescent="0.35">
      <c r="B338" s="750"/>
    </row>
    <row r="339" spans="2:2" ht="15.75" customHeight="1" x14ac:dyDescent="0.35">
      <c r="B339" s="750"/>
    </row>
    <row r="340" spans="2:2" ht="15.75" customHeight="1" x14ac:dyDescent="0.35">
      <c r="B340" s="750"/>
    </row>
    <row r="341" spans="2:2" ht="15.75" customHeight="1" x14ac:dyDescent="0.35">
      <c r="B341" s="750"/>
    </row>
    <row r="342" spans="2:2" ht="15.75" customHeight="1" x14ac:dyDescent="0.35">
      <c r="B342" s="750"/>
    </row>
    <row r="343" spans="2:2" ht="15.75" customHeight="1" x14ac:dyDescent="0.35">
      <c r="B343" s="750"/>
    </row>
    <row r="344" spans="2:2" ht="15.75" customHeight="1" x14ac:dyDescent="0.35">
      <c r="B344" s="750"/>
    </row>
    <row r="345" spans="2:2" ht="15.75" customHeight="1" x14ac:dyDescent="0.35">
      <c r="B345" s="750"/>
    </row>
    <row r="346" spans="2:2" ht="15.75" customHeight="1" x14ac:dyDescent="0.35">
      <c r="B346" s="750"/>
    </row>
    <row r="347" spans="2:2" ht="15.75" customHeight="1" x14ac:dyDescent="0.35">
      <c r="B347" s="750"/>
    </row>
    <row r="348" spans="2:2" ht="15.75" customHeight="1" x14ac:dyDescent="0.35">
      <c r="B348" s="750"/>
    </row>
    <row r="349" spans="2:2" ht="15.75" customHeight="1" x14ac:dyDescent="0.35">
      <c r="B349" s="750"/>
    </row>
    <row r="350" spans="2:2" ht="15.75" customHeight="1" x14ac:dyDescent="0.35">
      <c r="B350" s="750"/>
    </row>
    <row r="351" spans="2:2" ht="15.75" customHeight="1" x14ac:dyDescent="0.35">
      <c r="B351" s="750"/>
    </row>
    <row r="352" spans="2:2" ht="15.75" customHeight="1" x14ac:dyDescent="0.35">
      <c r="B352" s="750"/>
    </row>
    <row r="353" spans="2:2" ht="15.75" customHeight="1" x14ac:dyDescent="0.35">
      <c r="B353" s="750"/>
    </row>
    <row r="354" spans="2:2" ht="15.75" customHeight="1" x14ac:dyDescent="0.35">
      <c r="B354" s="750"/>
    </row>
    <row r="355" spans="2:2" ht="15.75" customHeight="1" x14ac:dyDescent="0.35">
      <c r="B355" s="750"/>
    </row>
    <row r="356" spans="2:2" ht="15.75" customHeight="1" x14ac:dyDescent="0.35">
      <c r="B356" s="750"/>
    </row>
    <row r="357" spans="2:2" ht="15.75" customHeight="1" x14ac:dyDescent="0.35">
      <c r="B357" s="750"/>
    </row>
    <row r="358" spans="2:2" ht="15.75" customHeight="1" x14ac:dyDescent="0.35">
      <c r="B358" s="750"/>
    </row>
    <row r="359" spans="2:2" ht="15.75" customHeight="1" x14ac:dyDescent="0.35">
      <c r="B359" s="750"/>
    </row>
    <row r="360" spans="2:2" ht="15.75" customHeight="1" x14ac:dyDescent="0.35">
      <c r="B360" s="750"/>
    </row>
    <row r="361" spans="2:2" ht="15.75" customHeight="1" x14ac:dyDescent="0.35">
      <c r="B361" s="750"/>
    </row>
    <row r="362" spans="2:2" ht="15.75" customHeight="1" x14ac:dyDescent="0.35">
      <c r="B362" s="750"/>
    </row>
    <row r="363" spans="2:2" ht="15.75" customHeight="1" x14ac:dyDescent="0.35">
      <c r="B363" s="750"/>
    </row>
    <row r="364" spans="2:2" ht="15.75" customHeight="1" x14ac:dyDescent="0.35">
      <c r="B364" s="750"/>
    </row>
    <row r="365" spans="2:2" ht="15.75" customHeight="1" x14ac:dyDescent="0.35">
      <c r="B365" s="750"/>
    </row>
    <row r="366" spans="2:2" ht="15.75" customHeight="1" x14ac:dyDescent="0.35">
      <c r="B366" s="750"/>
    </row>
    <row r="367" spans="2:2" ht="15.75" customHeight="1" x14ac:dyDescent="0.35">
      <c r="B367" s="750"/>
    </row>
    <row r="368" spans="2:2" ht="15.75" customHeight="1" x14ac:dyDescent="0.35">
      <c r="B368" s="750"/>
    </row>
    <row r="369" spans="2:2" ht="15.75" customHeight="1" x14ac:dyDescent="0.35">
      <c r="B369" s="750"/>
    </row>
    <row r="370" spans="2:2" ht="15.75" customHeight="1" x14ac:dyDescent="0.35">
      <c r="B370" s="750"/>
    </row>
    <row r="371" spans="2:2" ht="15.75" customHeight="1" x14ac:dyDescent="0.35">
      <c r="B371" s="750"/>
    </row>
    <row r="372" spans="2:2" ht="15.75" customHeight="1" x14ac:dyDescent="0.35">
      <c r="B372" s="750"/>
    </row>
    <row r="373" spans="2:2" ht="15.75" customHeight="1" x14ac:dyDescent="0.35">
      <c r="B373" s="750"/>
    </row>
    <row r="374" spans="2:2" ht="15.75" customHeight="1" x14ac:dyDescent="0.35">
      <c r="B374" s="750"/>
    </row>
    <row r="375" spans="2:2" ht="15.75" customHeight="1" x14ac:dyDescent="0.35">
      <c r="B375" s="750"/>
    </row>
    <row r="376" spans="2:2" ht="15.75" customHeight="1" x14ac:dyDescent="0.35">
      <c r="B376" s="750"/>
    </row>
    <row r="377" spans="2:2" ht="15.75" customHeight="1" x14ac:dyDescent="0.35">
      <c r="B377" s="750"/>
    </row>
    <row r="378" spans="2:2" ht="15.75" customHeight="1" x14ac:dyDescent="0.35">
      <c r="B378" s="750"/>
    </row>
    <row r="379" spans="2:2" ht="15.75" customHeight="1" x14ac:dyDescent="0.35">
      <c r="B379" s="750"/>
    </row>
    <row r="380" spans="2:2" ht="15.75" customHeight="1" x14ac:dyDescent="0.35">
      <c r="B380" s="750"/>
    </row>
    <row r="381" spans="2:2" ht="15.75" customHeight="1" x14ac:dyDescent="0.35">
      <c r="B381" s="750"/>
    </row>
    <row r="382" spans="2:2" ht="15.75" customHeight="1" x14ac:dyDescent="0.35">
      <c r="B382" s="750"/>
    </row>
    <row r="383" spans="2:2" ht="15.75" customHeight="1" x14ac:dyDescent="0.35">
      <c r="B383" s="750"/>
    </row>
    <row r="384" spans="2:2" ht="15.75" customHeight="1" x14ac:dyDescent="0.35">
      <c r="B384" s="750"/>
    </row>
    <row r="385" spans="2:2" ht="15.75" customHeight="1" x14ac:dyDescent="0.35">
      <c r="B385" s="750"/>
    </row>
    <row r="386" spans="2:2" ht="15.75" customHeight="1" x14ac:dyDescent="0.35">
      <c r="B386" s="750"/>
    </row>
    <row r="387" spans="2:2" ht="15.75" customHeight="1" x14ac:dyDescent="0.35">
      <c r="B387" s="750"/>
    </row>
    <row r="388" spans="2:2" ht="15.75" customHeight="1" x14ac:dyDescent="0.35">
      <c r="B388" s="750"/>
    </row>
    <row r="389" spans="2:2" ht="15.75" customHeight="1" x14ac:dyDescent="0.35">
      <c r="B389" s="750"/>
    </row>
    <row r="390" spans="2:2" ht="15.75" customHeight="1" x14ac:dyDescent="0.35">
      <c r="B390" s="750"/>
    </row>
    <row r="391" spans="2:2" ht="15.75" customHeight="1" x14ac:dyDescent="0.35">
      <c r="B391" s="750"/>
    </row>
    <row r="392" spans="2:2" ht="15.75" customHeight="1" x14ac:dyDescent="0.35">
      <c r="B392" s="750"/>
    </row>
    <row r="393" spans="2:2" ht="15.75" customHeight="1" x14ac:dyDescent="0.35">
      <c r="B393" s="750"/>
    </row>
    <row r="394" spans="2:2" ht="15.75" customHeight="1" x14ac:dyDescent="0.35">
      <c r="B394" s="750"/>
    </row>
    <row r="395" spans="2:2" ht="15.75" customHeight="1" x14ac:dyDescent="0.35">
      <c r="B395" s="750"/>
    </row>
    <row r="396" spans="2:2" ht="15.75" customHeight="1" x14ac:dyDescent="0.35">
      <c r="B396" s="750"/>
    </row>
    <row r="397" spans="2:2" ht="15.75" customHeight="1" x14ac:dyDescent="0.35">
      <c r="B397" s="750"/>
    </row>
    <row r="398" spans="2:2" ht="15.75" customHeight="1" x14ac:dyDescent="0.35">
      <c r="B398" s="750"/>
    </row>
    <row r="399" spans="2:2" ht="15.75" customHeight="1" x14ac:dyDescent="0.35">
      <c r="B399" s="750"/>
    </row>
    <row r="400" spans="2:2" ht="15.75" customHeight="1" x14ac:dyDescent="0.35">
      <c r="B400" s="750"/>
    </row>
    <row r="401" spans="2:2" ht="15.75" customHeight="1" x14ac:dyDescent="0.35">
      <c r="B401" s="750"/>
    </row>
    <row r="402" spans="2:2" ht="15.75" customHeight="1" x14ac:dyDescent="0.35">
      <c r="B402" s="750"/>
    </row>
    <row r="403" spans="2:2" ht="15.75" customHeight="1" x14ac:dyDescent="0.35">
      <c r="B403" s="750"/>
    </row>
    <row r="404" spans="2:2" ht="15.75" customHeight="1" x14ac:dyDescent="0.35">
      <c r="B404" s="750"/>
    </row>
    <row r="405" spans="2:2" ht="15.75" customHeight="1" x14ac:dyDescent="0.35">
      <c r="B405" s="750"/>
    </row>
    <row r="406" spans="2:2" ht="15.75" customHeight="1" x14ac:dyDescent="0.35">
      <c r="B406" s="750"/>
    </row>
    <row r="407" spans="2:2" ht="15.75" customHeight="1" x14ac:dyDescent="0.35">
      <c r="B407" s="750"/>
    </row>
    <row r="408" spans="2:2" ht="15.75" customHeight="1" x14ac:dyDescent="0.35">
      <c r="B408" s="750"/>
    </row>
    <row r="409" spans="2:2" ht="15.75" customHeight="1" x14ac:dyDescent="0.35">
      <c r="B409" s="750"/>
    </row>
    <row r="410" spans="2:2" ht="15.75" customHeight="1" x14ac:dyDescent="0.35">
      <c r="B410" s="750"/>
    </row>
    <row r="411" spans="2:2" ht="15.75" customHeight="1" x14ac:dyDescent="0.35">
      <c r="B411" s="750"/>
    </row>
    <row r="412" spans="2:2" ht="15.75" customHeight="1" x14ac:dyDescent="0.35">
      <c r="B412" s="750"/>
    </row>
    <row r="413" spans="2:2" ht="15.75" customHeight="1" x14ac:dyDescent="0.35">
      <c r="B413" s="750"/>
    </row>
    <row r="414" spans="2:2" ht="15.75" customHeight="1" x14ac:dyDescent="0.35">
      <c r="B414" s="750"/>
    </row>
    <row r="415" spans="2:2" ht="15.75" customHeight="1" x14ac:dyDescent="0.35">
      <c r="B415" s="750"/>
    </row>
    <row r="416" spans="2:2" ht="15.75" customHeight="1" x14ac:dyDescent="0.35">
      <c r="B416" s="750"/>
    </row>
    <row r="417" spans="2:2" ht="15.75" customHeight="1" x14ac:dyDescent="0.35">
      <c r="B417" s="750"/>
    </row>
    <row r="418" spans="2:2" ht="15.75" customHeight="1" x14ac:dyDescent="0.35">
      <c r="B418" s="750"/>
    </row>
    <row r="419" spans="2:2" ht="15.75" customHeight="1" x14ac:dyDescent="0.35">
      <c r="B419" s="750"/>
    </row>
    <row r="420" spans="2:2" ht="15.75" customHeight="1" x14ac:dyDescent="0.35">
      <c r="B420" s="750"/>
    </row>
    <row r="421" spans="2:2" ht="15.75" customHeight="1" x14ac:dyDescent="0.35">
      <c r="B421" s="750"/>
    </row>
    <row r="422" spans="2:2" ht="15.75" customHeight="1" x14ac:dyDescent="0.35">
      <c r="B422" s="750"/>
    </row>
    <row r="423" spans="2:2" ht="15.75" customHeight="1" x14ac:dyDescent="0.35">
      <c r="B423" s="750"/>
    </row>
    <row r="424" spans="2:2" ht="15.75" customHeight="1" x14ac:dyDescent="0.35">
      <c r="B424" s="750"/>
    </row>
    <row r="425" spans="2:2" ht="15.75" customHeight="1" x14ac:dyDescent="0.35">
      <c r="B425" s="750"/>
    </row>
    <row r="426" spans="2:2" ht="15.75" customHeight="1" x14ac:dyDescent="0.35">
      <c r="B426" s="750"/>
    </row>
    <row r="427" spans="2:2" ht="15.75" customHeight="1" x14ac:dyDescent="0.35">
      <c r="B427" s="750"/>
    </row>
    <row r="428" spans="2:2" ht="15.75" customHeight="1" x14ac:dyDescent="0.35">
      <c r="B428" s="750"/>
    </row>
    <row r="429" spans="2:2" ht="15.75" customHeight="1" x14ac:dyDescent="0.35">
      <c r="B429" s="750"/>
    </row>
    <row r="430" spans="2:2" ht="15.75" customHeight="1" x14ac:dyDescent="0.35">
      <c r="B430" s="750"/>
    </row>
    <row r="431" spans="2:2" ht="15.75" customHeight="1" x14ac:dyDescent="0.35">
      <c r="B431" s="750"/>
    </row>
    <row r="432" spans="2:2" ht="15.75" customHeight="1" x14ac:dyDescent="0.35">
      <c r="B432" s="750"/>
    </row>
    <row r="433" spans="2:2" ht="15.75" customHeight="1" x14ac:dyDescent="0.35">
      <c r="B433" s="750"/>
    </row>
    <row r="434" spans="2:2" ht="15.75" customHeight="1" x14ac:dyDescent="0.35">
      <c r="B434" s="750"/>
    </row>
    <row r="435" spans="2:2" ht="15.75" customHeight="1" x14ac:dyDescent="0.35">
      <c r="B435" s="750"/>
    </row>
    <row r="436" spans="2:2" ht="15.75" customHeight="1" x14ac:dyDescent="0.35">
      <c r="B436" s="750"/>
    </row>
    <row r="437" spans="2:2" ht="15.75" customHeight="1" x14ac:dyDescent="0.35">
      <c r="B437" s="750"/>
    </row>
    <row r="438" spans="2:2" ht="15.75" customHeight="1" x14ac:dyDescent="0.35">
      <c r="B438" s="750"/>
    </row>
    <row r="439" spans="2:2" ht="15.75" customHeight="1" x14ac:dyDescent="0.35">
      <c r="B439" s="750"/>
    </row>
    <row r="440" spans="2:2" ht="15.75" customHeight="1" x14ac:dyDescent="0.35">
      <c r="B440" s="750"/>
    </row>
    <row r="441" spans="2:2" ht="15.75" customHeight="1" x14ac:dyDescent="0.35">
      <c r="B441" s="750"/>
    </row>
    <row r="442" spans="2:2" ht="15.75" customHeight="1" x14ac:dyDescent="0.35">
      <c r="B442" s="750"/>
    </row>
    <row r="443" spans="2:2" ht="15.75" customHeight="1" x14ac:dyDescent="0.35">
      <c r="B443" s="750"/>
    </row>
    <row r="444" spans="2:2" ht="15.75" customHeight="1" x14ac:dyDescent="0.35">
      <c r="B444" s="750"/>
    </row>
    <row r="445" spans="2:2" ht="15.75" customHeight="1" x14ac:dyDescent="0.35">
      <c r="B445" s="750"/>
    </row>
    <row r="446" spans="2:2" ht="15.75" customHeight="1" x14ac:dyDescent="0.35">
      <c r="B446" s="750"/>
    </row>
    <row r="447" spans="2:2" ht="15.75" customHeight="1" x14ac:dyDescent="0.35">
      <c r="B447" s="750"/>
    </row>
    <row r="448" spans="2:2" ht="15.75" customHeight="1" x14ac:dyDescent="0.35">
      <c r="B448" s="750"/>
    </row>
    <row r="449" spans="2:2" ht="15.75" customHeight="1" x14ac:dyDescent="0.35">
      <c r="B449" s="750"/>
    </row>
    <row r="450" spans="2:2" ht="15.75" customHeight="1" x14ac:dyDescent="0.35">
      <c r="B450" s="750"/>
    </row>
    <row r="451" spans="2:2" ht="15.75" customHeight="1" x14ac:dyDescent="0.35">
      <c r="B451" s="750"/>
    </row>
    <row r="452" spans="2:2" ht="15.75" customHeight="1" x14ac:dyDescent="0.35">
      <c r="B452" s="750"/>
    </row>
    <row r="453" spans="2:2" ht="15.75" customHeight="1" x14ac:dyDescent="0.35">
      <c r="B453" s="750"/>
    </row>
    <row r="454" spans="2:2" ht="15.75" customHeight="1" x14ac:dyDescent="0.35">
      <c r="B454" s="750"/>
    </row>
    <row r="455" spans="2:2" ht="15.75" customHeight="1" x14ac:dyDescent="0.35">
      <c r="B455" s="750"/>
    </row>
    <row r="456" spans="2:2" ht="15.75" customHeight="1" x14ac:dyDescent="0.35">
      <c r="B456" s="750"/>
    </row>
    <row r="457" spans="2:2" ht="15.75" customHeight="1" x14ac:dyDescent="0.35">
      <c r="B457" s="750"/>
    </row>
    <row r="458" spans="2:2" ht="15.75" customHeight="1" x14ac:dyDescent="0.35">
      <c r="B458" s="750"/>
    </row>
    <row r="459" spans="2:2" ht="15.75" customHeight="1" x14ac:dyDescent="0.35">
      <c r="B459" s="750"/>
    </row>
    <row r="460" spans="2:2" ht="15.75" customHeight="1" x14ac:dyDescent="0.35">
      <c r="B460" s="750"/>
    </row>
    <row r="461" spans="2:2" ht="15.75" customHeight="1" x14ac:dyDescent="0.35">
      <c r="B461" s="750"/>
    </row>
    <row r="462" spans="2:2" ht="15.75" customHeight="1" x14ac:dyDescent="0.35">
      <c r="B462" s="750"/>
    </row>
    <row r="463" spans="2:2" ht="15.75" customHeight="1" x14ac:dyDescent="0.35">
      <c r="B463" s="750"/>
    </row>
    <row r="464" spans="2:2" ht="15.75" customHeight="1" x14ac:dyDescent="0.35">
      <c r="B464" s="750"/>
    </row>
    <row r="465" spans="2:2" ht="15.75" customHeight="1" x14ac:dyDescent="0.35">
      <c r="B465" s="750"/>
    </row>
    <row r="466" spans="2:2" ht="15.75" customHeight="1" x14ac:dyDescent="0.35">
      <c r="B466" s="750"/>
    </row>
    <row r="467" spans="2:2" ht="15.75" customHeight="1" x14ac:dyDescent="0.35">
      <c r="B467" s="750"/>
    </row>
    <row r="468" spans="2:2" ht="15.75" customHeight="1" x14ac:dyDescent="0.35">
      <c r="B468" s="750"/>
    </row>
    <row r="469" spans="2:2" ht="15.75" customHeight="1" x14ac:dyDescent="0.35">
      <c r="B469" s="750"/>
    </row>
    <row r="470" spans="2:2" ht="15.75" customHeight="1" x14ac:dyDescent="0.35">
      <c r="B470" s="750"/>
    </row>
    <row r="471" spans="2:2" ht="15.75" customHeight="1" x14ac:dyDescent="0.35">
      <c r="B471" s="750"/>
    </row>
    <row r="472" spans="2:2" ht="15.75" customHeight="1" x14ac:dyDescent="0.35">
      <c r="B472" s="750"/>
    </row>
    <row r="473" spans="2:2" ht="15.75" customHeight="1" x14ac:dyDescent="0.35">
      <c r="B473" s="750"/>
    </row>
    <row r="474" spans="2:2" ht="15.75" customHeight="1" x14ac:dyDescent="0.35">
      <c r="B474" s="750"/>
    </row>
    <row r="475" spans="2:2" ht="15.75" customHeight="1" x14ac:dyDescent="0.35">
      <c r="B475" s="750"/>
    </row>
    <row r="476" spans="2:2" ht="15.75" customHeight="1" x14ac:dyDescent="0.35">
      <c r="B476" s="750"/>
    </row>
    <row r="477" spans="2:2" ht="15.75" customHeight="1" x14ac:dyDescent="0.35">
      <c r="B477" s="750"/>
    </row>
    <row r="478" spans="2:2" ht="15.75" customHeight="1" x14ac:dyDescent="0.35">
      <c r="B478" s="750"/>
    </row>
    <row r="479" spans="2:2" ht="15.75" customHeight="1" x14ac:dyDescent="0.35">
      <c r="B479" s="750"/>
    </row>
    <row r="480" spans="2:2" ht="15.75" customHeight="1" x14ac:dyDescent="0.35">
      <c r="B480" s="750"/>
    </row>
    <row r="481" spans="2:2" ht="15.75" customHeight="1" x14ac:dyDescent="0.35">
      <c r="B481" s="750"/>
    </row>
    <row r="482" spans="2:2" ht="15.75" customHeight="1" x14ac:dyDescent="0.35">
      <c r="B482" s="750"/>
    </row>
    <row r="483" spans="2:2" ht="15.75" customHeight="1" x14ac:dyDescent="0.35">
      <c r="B483" s="750"/>
    </row>
    <row r="484" spans="2:2" ht="15.75" customHeight="1" x14ac:dyDescent="0.35">
      <c r="B484" s="750"/>
    </row>
    <row r="485" spans="2:2" ht="15.75" customHeight="1" x14ac:dyDescent="0.35">
      <c r="B485" s="750"/>
    </row>
    <row r="486" spans="2:2" ht="15.75" customHeight="1" x14ac:dyDescent="0.35">
      <c r="B486" s="750"/>
    </row>
    <row r="487" spans="2:2" ht="15.75" customHeight="1" x14ac:dyDescent="0.35">
      <c r="B487" s="750"/>
    </row>
    <row r="488" spans="2:2" ht="15.75" customHeight="1" x14ac:dyDescent="0.35">
      <c r="B488" s="750"/>
    </row>
    <row r="489" spans="2:2" ht="15.75" customHeight="1" x14ac:dyDescent="0.35">
      <c r="B489" s="750"/>
    </row>
    <row r="490" spans="2:2" ht="15.75" customHeight="1" x14ac:dyDescent="0.35">
      <c r="B490" s="750"/>
    </row>
    <row r="491" spans="2:2" ht="15.75" customHeight="1" x14ac:dyDescent="0.35">
      <c r="B491" s="750"/>
    </row>
    <row r="492" spans="2:2" ht="15.75" customHeight="1" x14ac:dyDescent="0.35">
      <c r="B492" s="750"/>
    </row>
    <row r="493" spans="2:2" ht="15.75" customHeight="1" x14ac:dyDescent="0.35">
      <c r="B493" s="750"/>
    </row>
    <row r="494" spans="2:2" ht="15.75" customHeight="1" x14ac:dyDescent="0.35">
      <c r="B494" s="750"/>
    </row>
    <row r="495" spans="2:2" ht="15.75" customHeight="1" x14ac:dyDescent="0.35">
      <c r="B495" s="750"/>
    </row>
    <row r="496" spans="2:2" ht="15.75" customHeight="1" x14ac:dyDescent="0.35">
      <c r="B496" s="750"/>
    </row>
    <row r="497" spans="2:2" ht="15.75" customHeight="1" x14ac:dyDescent="0.35">
      <c r="B497" s="750"/>
    </row>
    <row r="498" spans="2:2" ht="15.75" customHeight="1" x14ac:dyDescent="0.35">
      <c r="B498" s="750"/>
    </row>
    <row r="499" spans="2:2" ht="15.75" customHeight="1" x14ac:dyDescent="0.35">
      <c r="B499" s="750"/>
    </row>
    <row r="500" spans="2:2" ht="15.75" customHeight="1" x14ac:dyDescent="0.35">
      <c r="B500" s="750"/>
    </row>
    <row r="501" spans="2:2" ht="15.75" customHeight="1" x14ac:dyDescent="0.35">
      <c r="B501" s="750"/>
    </row>
    <row r="502" spans="2:2" ht="15.75" customHeight="1" x14ac:dyDescent="0.35">
      <c r="B502" s="750"/>
    </row>
    <row r="503" spans="2:2" ht="15.75" customHeight="1" x14ac:dyDescent="0.35">
      <c r="B503" s="750"/>
    </row>
    <row r="504" spans="2:2" ht="15.75" customHeight="1" x14ac:dyDescent="0.35">
      <c r="B504" s="750"/>
    </row>
    <row r="505" spans="2:2" ht="15.75" customHeight="1" x14ac:dyDescent="0.35">
      <c r="B505" s="750"/>
    </row>
    <row r="506" spans="2:2" ht="15.75" customHeight="1" x14ac:dyDescent="0.35">
      <c r="B506" s="750"/>
    </row>
    <row r="507" spans="2:2" ht="15.75" customHeight="1" x14ac:dyDescent="0.35">
      <c r="B507" s="750"/>
    </row>
    <row r="508" spans="2:2" ht="15.75" customHeight="1" x14ac:dyDescent="0.35">
      <c r="B508" s="750"/>
    </row>
    <row r="509" spans="2:2" ht="15.75" customHeight="1" x14ac:dyDescent="0.35">
      <c r="B509" s="750"/>
    </row>
    <row r="510" spans="2:2" ht="15.75" customHeight="1" x14ac:dyDescent="0.35">
      <c r="B510" s="750"/>
    </row>
    <row r="511" spans="2:2" ht="15.75" customHeight="1" x14ac:dyDescent="0.35">
      <c r="B511" s="750"/>
    </row>
    <row r="512" spans="2:2" ht="15.75" customHeight="1" x14ac:dyDescent="0.35">
      <c r="B512" s="750"/>
    </row>
    <row r="513" spans="2:2" ht="15.75" customHeight="1" x14ac:dyDescent="0.35">
      <c r="B513" s="750"/>
    </row>
    <row r="514" spans="2:2" ht="15.75" customHeight="1" x14ac:dyDescent="0.35">
      <c r="B514" s="750"/>
    </row>
    <row r="515" spans="2:2" ht="15.75" customHeight="1" x14ac:dyDescent="0.35">
      <c r="B515" s="750"/>
    </row>
    <row r="516" spans="2:2" ht="15.75" customHeight="1" x14ac:dyDescent="0.35">
      <c r="B516" s="750"/>
    </row>
    <row r="517" spans="2:2" ht="15.75" customHeight="1" x14ac:dyDescent="0.35">
      <c r="B517" s="750"/>
    </row>
    <row r="518" spans="2:2" ht="15.75" customHeight="1" x14ac:dyDescent="0.35">
      <c r="B518" s="750"/>
    </row>
    <row r="519" spans="2:2" ht="15.75" customHeight="1" x14ac:dyDescent="0.35">
      <c r="B519" s="750"/>
    </row>
    <row r="520" spans="2:2" ht="15.75" customHeight="1" x14ac:dyDescent="0.35">
      <c r="B520" s="750"/>
    </row>
    <row r="521" spans="2:2" ht="15.75" customHeight="1" x14ac:dyDescent="0.35">
      <c r="B521" s="750"/>
    </row>
    <row r="522" spans="2:2" ht="15.75" customHeight="1" x14ac:dyDescent="0.35">
      <c r="B522" s="750"/>
    </row>
    <row r="523" spans="2:2" ht="15.75" customHeight="1" x14ac:dyDescent="0.35">
      <c r="B523" s="750"/>
    </row>
    <row r="524" spans="2:2" ht="15.75" customHeight="1" x14ac:dyDescent="0.35">
      <c r="B524" s="750"/>
    </row>
    <row r="525" spans="2:2" ht="15.75" customHeight="1" x14ac:dyDescent="0.35">
      <c r="B525" s="750"/>
    </row>
    <row r="526" spans="2:2" ht="15.75" customHeight="1" x14ac:dyDescent="0.35">
      <c r="B526" s="750"/>
    </row>
    <row r="527" spans="2:2" ht="15.75" customHeight="1" x14ac:dyDescent="0.35">
      <c r="B527" s="750"/>
    </row>
    <row r="528" spans="2:2" ht="15.75" customHeight="1" x14ac:dyDescent="0.35">
      <c r="B528" s="750"/>
    </row>
    <row r="529" spans="2:2" ht="15.75" customHeight="1" x14ac:dyDescent="0.35">
      <c r="B529" s="750"/>
    </row>
    <row r="530" spans="2:2" ht="15.75" customHeight="1" x14ac:dyDescent="0.35">
      <c r="B530" s="750"/>
    </row>
    <row r="531" spans="2:2" ht="15.75" customHeight="1" x14ac:dyDescent="0.35">
      <c r="B531" s="750"/>
    </row>
    <row r="532" spans="2:2" ht="15.75" customHeight="1" x14ac:dyDescent="0.35">
      <c r="B532" s="750"/>
    </row>
    <row r="533" spans="2:2" ht="15.75" customHeight="1" x14ac:dyDescent="0.35">
      <c r="B533" s="750"/>
    </row>
    <row r="534" spans="2:2" ht="15.75" customHeight="1" x14ac:dyDescent="0.35">
      <c r="B534" s="750"/>
    </row>
    <row r="535" spans="2:2" ht="15.75" customHeight="1" x14ac:dyDescent="0.35">
      <c r="B535" s="750"/>
    </row>
    <row r="536" spans="2:2" ht="15.75" customHeight="1" x14ac:dyDescent="0.35">
      <c r="B536" s="750"/>
    </row>
    <row r="537" spans="2:2" ht="15.75" customHeight="1" x14ac:dyDescent="0.35">
      <c r="B537" s="750"/>
    </row>
    <row r="538" spans="2:2" ht="15.75" customHeight="1" x14ac:dyDescent="0.35">
      <c r="B538" s="750"/>
    </row>
    <row r="539" spans="2:2" ht="15.75" customHeight="1" x14ac:dyDescent="0.35">
      <c r="B539" s="750"/>
    </row>
    <row r="540" spans="2:2" ht="15.75" customHeight="1" x14ac:dyDescent="0.35">
      <c r="B540" s="750"/>
    </row>
    <row r="541" spans="2:2" ht="15.75" customHeight="1" x14ac:dyDescent="0.35">
      <c r="B541" s="750"/>
    </row>
    <row r="542" spans="2:2" ht="15.75" customHeight="1" x14ac:dyDescent="0.35">
      <c r="B542" s="750"/>
    </row>
    <row r="543" spans="2:2" ht="15.75" customHeight="1" x14ac:dyDescent="0.35">
      <c r="B543" s="750"/>
    </row>
    <row r="544" spans="2:2" ht="15.75" customHeight="1" x14ac:dyDescent="0.35">
      <c r="B544" s="750"/>
    </row>
    <row r="545" spans="2:2" ht="15.75" customHeight="1" x14ac:dyDescent="0.35">
      <c r="B545" s="750"/>
    </row>
    <row r="546" spans="2:2" ht="15.75" customHeight="1" x14ac:dyDescent="0.35">
      <c r="B546" s="750"/>
    </row>
    <row r="547" spans="2:2" ht="15.75" customHeight="1" x14ac:dyDescent="0.35">
      <c r="B547" s="750"/>
    </row>
    <row r="548" spans="2:2" ht="15.75" customHeight="1" x14ac:dyDescent="0.35">
      <c r="B548" s="750"/>
    </row>
    <row r="549" spans="2:2" ht="15.75" customHeight="1" x14ac:dyDescent="0.35">
      <c r="B549" s="750"/>
    </row>
    <row r="550" spans="2:2" ht="15.75" customHeight="1" x14ac:dyDescent="0.35">
      <c r="B550" s="750"/>
    </row>
    <row r="551" spans="2:2" ht="15.75" customHeight="1" x14ac:dyDescent="0.35">
      <c r="B551" s="750"/>
    </row>
    <row r="552" spans="2:2" ht="15.75" customHeight="1" x14ac:dyDescent="0.35">
      <c r="B552" s="750"/>
    </row>
    <row r="553" spans="2:2" ht="15.75" customHeight="1" x14ac:dyDescent="0.35">
      <c r="B553" s="750"/>
    </row>
    <row r="554" spans="2:2" ht="15.75" customHeight="1" x14ac:dyDescent="0.35">
      <c r="B554" s="750"/>
    </row>
    <row r="555" spans="2:2" ht="15.75" customHeight="1" x14ac:dyDescent="0.35">
      <c r="B555" s="750"/>
    </row>
    <row r="556" spans="2:2" ht="15.75" customHeight="1" x14ac:dyDescent="0.35">
      <c r="B556" s="750"/>
    </row>
    <row r="557" spans="2:2" ht="15.75" customHeight="1" x14ac:dyDescent="0.35">
      <c r="B557" s="750"/>
    </row>
    <row r="558" spans="2:2" ht="15.75" customHeight="1" x14ac:dyDescent="0.35">
      <c r="B558" s="750"/>
    </row>
    <row r="559" spans="2:2" ht="15.75" customHeight="1" x14ac:dyDescent="0.35">
      <c r="B559" s="750"/>
    </row>
    <row r="560" spans="2:2" ht="15.75" customHeight="1" x14ac:dyDescent="0.35">
      <c r="B560" s="750"/>
    </row>
    <row r="561" spans="2:2" ht="15.75" customHeight="1" x14ac:dyDescent="0.35">
      <c r="B561" s="750"/>
    </row>
    <row r="562" spans="2:2" ht="15.75" customHeight="1" x14ac:dyDescent="0.35">
      <c r="B562" s="750"/>
    </row>
    <row r="563" spans="2:2" ht="15.75" customHeight="1" x14ac:dyDescent="0.35">
      <c r="B563" s="750"/>
    </row>
    <row r="564" spans="2:2" ht="15.75" customHeight="1" x14ac:dyDescent="0.35">
      <c r="B564" s="750"/>
    </row>
    <row r="565" spans="2:2" ht="15.75" customHeight="1" x14ac:dyDescent="0.35">
      <c r="B565" s="750"/>
    </row>
    <row r="566" spans="2:2" ht="15.75" customHeight="1" x14ac:dyDescent="0.35">
      <c r="B566" s="750"/>
    </row>
    <row r="567" spans="2:2" ht="15.75" customHeight="1" x14ac:dyDescent="0.35">
      <c r="B567" s="750"/>
    </row>
    <row r="568" spans="2:2" ht="15.75" customHeight="1" x14ac:dyDescent="0.35">
      <c r="B568" s="750"/>
    </row>
    <row r="569" spans="2:2" ht="15.75" customHeight="1" x14ac:dyDescent="0.35">
      <c r="B569" s="750"/>
    </row>
    <row r="570" spans="2:2" ht="15.75" customHeight="1" x14ac:dyDescent="0.35">
      <c r="B570" s="750"/>
    </row>
    <row r="571" spans="2:2" ht="15.75" customHeight="1" x14ac:dyDescent="0.35">
      <c r="B571" s="750"/>
    </row>
    <row r="572" spans="2:2" ht="15.75" customHeight="1" x14ac:dyDescent="0.35">
      <c r="B572" s="750"/>
    </row>
    <row r="573" spans="2:2" ht="15.75" customHeight="1" x14ac:dyDescent="0.35">
      <c r="B573" s="750"/>
    </row>
    <row r="574" spans="2:2" ht="15.75" customHeight="1" x14ac:dyDescent="0.35">
      <c r="B574" s="750"/>
    </row>
    <row r="575" spans="2:2" ht="15.75" customHeight="1" x14ac:dyDescent="0.35">
      <c r="B575" s="750"/>
    </row>
    <row r="576" spans="2:2" ht="15.75" customHeight="1" x14ac:dyDescent="0.35">
      <c r="B576" s="750"/>
    </row>
    <row r="577" spans="2:2" ht="15.75" customHeight="1" x14ac:dyDescent="0.35">
      <c r="B577" s="750"/>
    </row>
    <row r="578" spans="2:2" ht="15.75" customHeight="1" x14ac:dyDescent="0.35">
      <c r="B578" s="750"/>
    </row>
    <row r="579" spans="2:2" ht="15.75" customHeight="1" x14ac:dyDescent="0.35">
      <c r="B579" s="750"/>
    </row>
    <row r="580" spans="2:2" ht="15.75" customHeight="1" x14ac:dyDescent="0.35">
      <c r="B580" s="750"/>
    </row>
    <row r="581" spans="2:2" ht="15.75" customHeight="1" x14ac:dyDescent="0.35">
      <c r="B581" s="750"/>
    </row>
    <row r="582" spans="2:2" ht="15.75" customHeight="1" x14ac:dyDescent="0.35">
      <c r="B582" s="750"/>
    </row>
    <row r="583" spans="2:2" ht="15.75" customHeight="1" x14ac:dyDescent="0.35">
      <c r="B583" s="750"/>
    </row>
    <row r="584" spans="2:2" ht="15.75" customHeight="1" x14ac:dyDescent="0.35">
      <c r="B584" s="750"/>
    </row>
    <row r="585" spans="2:2" ht="15.75" customHeight="1" x14ac:dyDescent="0.35">
      <c r="B585" s="750"/>
    </row>
    <row r="586" spans="2:2" ht="15.75" customHeight="1" x14ac:dyDescent="0.35">
      <c r="B586" s="750"/>
    </row>
    <row r="587" spans="2:2" ht="15.75" customHeight="1" x14ac:dyDescent="0.35">
      <c r="B587" s="750"/>
    </row>
    <row r="588" spans="2:2" ht="15.75" customHeight="1" x14ac:dyDescent="0.35">
      <c r="B588" s="750"/>
    </row>
    <row r="589" spans="2:2" ht="15.75" customHeight="1" x14ac:dyDescent="0.35">
      <c r="B589" s="750"/>
    </row>
    <row r="590" spans="2:2" ht="15.75" customHeight="1" x14ac:dyDescent="0.35">
      <c r="B590" s="750"/>
    </row>
    <row r="591" spans="2:2" ht="15.75" customHeight="1" x14ac:dyDescent="0.35">
      <c r="B591" s="750"/>
    </row>
    <row r="592" spans="2:2" ht="15.75" customHeight="1" x14ac:dyDescent="0.35">
      <c r="B592" s="750"/>
    </row>
    <row r="593" spans="2:2" ht="15.75" customHeight="1" x14ac:dyDescent="0.35">
      <c r="B593" s="750"/>
    </row>
    <row r="594" spans="2:2" ht="15.75" customHeight="1" x14ac:dyDescent="0.35">
      <c r="B594" s="750"/>
    </row>
    <row r="595" spans="2:2" ht="15.75" customHeight="1" x14ac:dyDescent="0.35">
      <c r="B595" s="750"/>
    </row>
    <row r="596" spans="2:2" ht="15.75" customHeight="1" x14ac:dyDescent="0.35">
      <c r="B596" s="750"/>
    </row>
    <row r="597" spans="2:2" ht="15.75" customHeight="1" x14ac:dyDescent="0.35">
      <c r="B597" s="750"/>
    </row>
    <row r="598" spans="2:2" ht="15.75" customHeight="1" x14ac:dyDescent="0.35">
      <c r="B598" s="750"/>
    </row>
    <row r="599" spans="2:2" ht="15.75" customHeight="1" x14ac:dyDescent="0.35">
      <c r="B599" s="750"/>
    </row>
    <row r="600" spans="2:2" ht="15.75" customHeight="1" x14ac:dyDescent="0.35">
      <c r="B600" s="750"/>
    </row>
    <row r="601" spans="2:2" ht="15.75" customHeight="1" x14ac:dyDescent="0.35">
      <c r="B601" s="750"/>
    </row>
    <row r="602" spans="2:2" ht="15.75" customHeight="1" x14ac:dyDescent="0.35">
      <c r="B602" s="750"/>
    </row>
    <row r="603" spans="2:2" ht="15.75" customHeight="1" x14ac:dyDescent="0.35">
      <c r="B603" s="750"/>
    </row>
    <row r="604" spans="2:2" ht="15.75" customHeight="1" x14ac:dyDescent="0.35">
      <c r="B604" s="750"/>
    </row>
    <row r="605" spans="2:2" ht="15.75" customHeight="1" x14ac:dyDescent="0.35">
      <c r="B605" s="750"/>
    </row>
    <row r="606" spans="2:2" ht="15.75" customHeight="1" x14ac:dyDescent="0.35">
      <c r="B606" s="750"/>
    </row>
    <row r="607" spans="2:2" ht="15.75" customHeight="1" x14ac:dyDescent="0.35">
      <c r="B607" s="750"/>
    </row>
    <row r="608" spans="2:2" ht="15.75" customHeight="1" x14ac:dyDescent="0.35">
      <c r="B608" s="750"/>
    </row>
    <row r="609" spans="2:2" ht="15.75" customHeight="1" x14ac:dyDescent="0.35">
      <c r="B609" s="750"/>
    </row>
    <row r="610" spans="2:2" ht="15.75" customHeight="1" x14ac:dyDescent="0.35">
      <c r="B610" s="750"/>
    </row>
    <row r="611" spans="2:2" ht="15.75" customHeight="1" x14ac:dyDescent="0.35">
      <c r="B611" s="750"/>
    </row>
    <row r="612" spans="2:2" ht="15.75" customHeight="1" x14ac:dyDescent="0.35">
      <c r="B612" s="750"/>
    </row>
    <row r="613" spans="2:2" ht="15.75" customHeight="1" x14ac:dyDescent="0.35">
      <c r="B613" s="750"/>
    </row>
    <row r="614" spans="2:2" ht="15.75" customHeight="1" x14ac:dyDescent="0.35">
      <c r="B614" s="750"/>
    </row>
    <row r="615" spans="2:2" ht="15.75" customHeight="1" x14ac:dyDescent="0.35">
      <c r="B615" s="750"/>
    </row>
    <row r="616" spans="2:2" ht="15.75" customHeight="1" x14ac:dyDescent="0.35">
      <c r="B616" s="750"/>
    </row>
    <row r="617" spans="2:2" ht="15.75" customHeight="1" x14ac:dyDescent="0.35">
      <c r="B617" s="750"/>
    </row>
    <row r="618" spans="2:2" ht="15.75" customHeight="1" x14ac:dyDescent="0.35">
      <c r="B618" s="750"/>
    </row>
    <row r="619" spans="2:2" ht="15.75" customHeight="1" x14ac:dyDescent="0.35">
      <c r="B619" s="750"/>
    </row>
    <row r="620" spans="2:2" ht="15.75" customHeight="1" x14ac:dyDescent="0.35">
      <c r="B620" s="750"/>
    </row>
    <row r="621" spans="2:2" ht="15.75" customHeight="1" x14ac:dyDescent="0.35">
      <c r="B621" s="750"/>
    </row>
    <row r="622" spans="2:2" ht="15.75" customHeight="1" x14ac:dyDescent="0.35">
      <c r="B622" s="750"/>
    </row>
    <row r="623" spans="2:2" ht="15.75" customHeight="1" x14ac:dyDescent="0.35">
      <c r="B623" s="750"/>
    </row>
    <row r="624" spans="2:2" ht="15.75" customHeight="1" x14ac:dyDescent="0.35">
      <c r="B624" s="750"/>
    </row>
    <row r="625" spans="2:2" ht="15.75" customHeight="1" x14ac:dyDescent="0.35">
      <c r="B625" s="750"/>
    </row>
    <row r="626" spans="2:2" ht="15.75" customHeight="1" x14ac:dyDescent="0.35">
      <c r="B626" s="750"/>
    </row>
    <row r="627" spans="2:2" ht="15.75" customHeight="1" x14ac:dyDescent="0.35">
      <c r="B627" s="750"/>
    </row>
    <row r="628" spans="2:2" ht="15.75" customHeight="1" x14ac:dyDescent="0.35">
      <c r="B628" s="750"/>
    </row>
    <row r="629" spans="2:2" ht="15.75" customHeight="1" x14ac:dyDescent="0.35">
      <c r="B629" s="750"/>
    </row>
    <row r="630" spans="2:2" ht="15.75" customHeight="1" x14ac:dyDescent="0.35">
      <c r="B630" s="750"/>
    </row>
    <row r="631" spans="2:2" ht="15.75" customHeight="1" x14ac:dyDescent="0.35">
      <c r="B631" s="750"/>
    </row>
    <row r="632" spans="2:2" ht="15.75" customHeight="1" x14ac:dyDescent="0.35">
      <c r="B632" s="750"/>
    </row>
    <row r="633" spans="2:2" ht="15.75" customHeight="1" x14ac:dyDescent="0.35">
      <c r="B633" s="750"/>
    </row>
    <row r="634" spans="2:2" ht="15.75" customHeight="1" x14ac:dyDescent="0.35">
      <c r="B634" s="750"/>
    </row>
    <row r="635" spans="2:2" ht="15.75" customHeight="1" x14ac:dyDescent="0.35">
      <c r="B635" s="750"/>
    </row>
    <row r="636" spans="2:2" ht="15.75" customHeight="1" x14ac:dyDescent="0.35">
      <c r="B636" s="750"/>
    </row>
    <row r="637" spans="2:2" ht="15.75" customHeight="1" x14ac:dyDescent="0.35">
      <c r="B637" s="750"/>
    </row>
    <row r="638" spans="2:2" ht="15.75" customHeight="1" x14ac:dyDescent="0.35">
      <c r="B638" s="750"/>
    </row>
    <row r="639" spans="2:2" ht="15.75" customHeight="1" x14ac:dyDescent="0.35">
      <c r="B639" s="750"/>
    </row>
    <row r="640" spans="2:2" ht="15.75" customHeight="1" x14ac:dyDescent="0.35">
      <c r="B640" s="750"/>
    </row>
    <row r="641" spans="2:2" ht="15.75" customHeight="1" x14ac:dyDescent="0.35">
      <c r="B641" s="750"/>
    </row>
    <row r="642" spans="2:2" ht="15.75" customHeight="1" x14ac:dyDescent="0.35">
      <c r="B642" s="750"/>
    </row>
    <row r="643" spans="2:2" ht="15.75" customHeight="1" x14ac:dyDescent="0.35">
      <c r="B643" s="750"/>
    </row>
    <row r="644" spans="2:2" ht="15.75" customHeight="1" x14ac:dyDescent="0.35">
      <c r="B644" s="750"/>
    </row>
    <row r="645" spans="2:2" ht="15.75" customHeight="1" x14ac:dyDescent="0.35">
      <c r="B645" s="750"/>
    </row>
    <row r="646" spans="2:2" ht="15.75" customHeight="1" x14ac:dyDescent="0.35">
      <c r="B646" s="750"/>
    </row>
    <row r="647" spans="2:2" ht="15.75" customHeight="1" x14ac:dyDescent="0.35">
      <c r="B647" s="750"/>
    </row>
    <row r="648" spans="2:2" ht="15.75" customHeight="1" x14ac:dyDescent="0.35">
      <c r="B648" s="750"/>
    </row>
    <row r="649" spans="2:2" ht="15.75" customHeight="1" x14ac:dyDescent="0.35">
      <c r="B649" s="750"/>
    </row>
    <row r="650" spans="2:2" ht="15.75" customHeight="1" x14ac:dyDescent="0.35">
      <c r="B650" s="750"/>
    </row>
    <row r="651" spans="2:2" ht="15.75" customHeight="1" x14ac:dyDescent="0.35">
      <c r="B651" s="750"/>
    </row>
    <row r="652" spans="2:2" ht="15.75" customHeight="1" x14ac:dyDescent="0.35">
      <c r="B652" s="750"/>
    </row>
    <row r="653" spans="2:2" ht="15.75" customHeight="1" x14ac:dyDescent="0.35">
      <c r="B653" s="750"/>
    </row>
    <row r="654" spans="2:2" ht="15.75" customHeight="1" x14ac:dyDescent="0.35">
      <c r="B654" s="750"/>
    </row>
    <row r="655" spans="2:2" ht="15.75" customHeight="1" x14ac:dyDescent="0.35">
      <c r="B655" s="750"/>
    </row>
    <row r="656" spans="2:2" ht="15.75" customHeight="1" x14ac:dyDescent="0.35">
      <c r="B656" s="750"/>
    </row>
    <row r="657" spans="2:2" ht="15.75" customHeight="1" x14ac:dyDescent="0.35">
      <c r="B657" s="750"/>
    </row>
    <row r="658" spans="2:2" ht="15.75" customHeight="1" x14ac:dyDescent="0.35">
      <c r="B658" s="750"/>
    </row>
    <row r="659" spans="2:2" ht="15.75" customHeight="1" x14ac:dyDescent="0.35">
      <c r="B659" s="750"/>
    </row>
    <row r="660" spans="2:2" ht="15.75" customHeight="1" x14ac:dyDescent="0.35">
      <c r="B660" s="750"/>
    </row>
    <row r="661" spans="2:2" ht="15.75" customHeight="1" x14ac:dyDescent="0.35">
      <c r="B661" s="750"/>
    </row>
    <row r="662" spans="2:2" ht="15.75" customHeight="1" x14ac:dyDescent="0.35">
      <c r="B662" s="750"/>
    </row>
    <row r="663" spans="2:2" ht="15.75" customHeight="1" x14ac:dyDescent="0.35">
      <c r="B663" s="750"/>
    </row>
    <row r="664" spans="2:2" ht="15.75" customHeight="1" x14ac:dyDescent="0.35">
      <c r="B664" s="750"/>
    </row>
    <row r="665" spans="2:2" ht="15.75" customHeight="1" x14ac:dyDescent="0.35">
      <c r="B665" s="750"/>
    </row>
    <row r="666" spans="2:2" ht="15.75" customHeight="1" x14ac:dyDescent="0.35">
      <c r="B666" s="750"/>
    </row>
    <row r="667" spans="2:2" ht="15.75" customHeight="1" x14ac:dyDescent="0.35">
      <c r="B667" s="750"/>
    </row>
    <row r="668" spans="2:2" ht="15.75" customHeight="1" x14ac:dyDescent="0.35">
      <c r="B668" s="750"/>
    </row>
    <row r="669" spans="2:2" ht="15.75" customHeight="1" x14ac:dyDescent="0.35">
      <c r="B669" s="750"/>
    </row>
    <row r="670" spans="2:2" ht="15.75" customHeight="1" x14ac:dyDescent="0.35">
      <c r="B670" s="750"/>
    </row>
    <row r="671" spans="2:2" ht="15.75" customHeight="1" x14ac:dyDescent="0.35">
      <c r="B671" s="750"/>
    </row>
    <row r="672" spans="2:2" ht="15.75" customHeight="1" x14ac:dyDescent="0.35">
      <c r="B672" s="750"/>
    </row>
    <row r="673" spans="2:2" ht="15.75" customHeight="1" x14ac:dyDescent="0.35">
      <c r="B673" s="750"/>
    </row>
    <row r="674" spans="2:2" ht="15.75" customHeight="1" x14ac:dyDescent="0.35">
      <c r="B674" s="750"/>
    </row>
    <row r="675" spans="2:2" ht="15.75" customHeight="1" x14ac:dyDescent="0.35">
      <c r="B675" s="750"/>
    </row>
    <row r="676" spans="2:2" ht="15.75" customHeight="1" x14ac:dyDescent="0.35">
      <c r="B676" s="750"/>
    </row>
    <row r="677" spans="2:2" ht="15.75" customHeight="1" x14ac:dyDescent="0.35">
      <c r="B677" s="750"/>
    </row>
    <row r="678" spans="2:2" ht="15.75" customHeight="1" x14ac:dyDescent="0.35">
      <c r="B678" s="750"/>
    </row>
    <row r="679" spans="2:2" ht="15.75" customHeight="1" x14ac:dyDescent="0.35">
      <c r="B679" s="750"/>
    </row>
    <row r="680" spans="2:2" ht="15.75" customHeight="1" x14ac:dyDescent="0.35">
      <c r="B680" s="750"/>
    </row>
    <row r="681" spans="2:2" ht="15.75" customHeight="1" x14ac:dyDescent="0.35">
      <c r="B681" s="750"/>
    </row>
    <row r="682" spans="2:2" ht="15.75" customHeight="1" x14ac:dyDescent="0.35">
      <c r="B682" s="750"/>
    </row>
    <row r="683" spans="2:2" ht="15.75" customHeight="1" x14ac:dyDescent="0.35">
      <c r="B683" s="750"/>
    </row>
    <row r="684" spans="2:2" ht="15.75" customHeight="1" x14ac:dyDescent="0.35">
      <c r="B684" s="750"/>
    </row>
    <row r="685" spans="2:2" ht="15.75" customHeight="1" x14ac:dyDescent="0.35">
      <c r="B685" s="750"/>
    </row>
    <row r="686" spans="2:2" ht="15.75" customHeight="1" x14ac:dyDescent="0.35">
      <c r="B686" s="750"/>
    </row>
    <row r="687" spans="2:2" ht="15.75" customHeight="1" x14ac:dyDescent="0.35">
      <c r="B687" s="750"/>
    </row>
    <row r="688" spans="2:2" ht="15.75" customHeight="1" x14ac:dyDescent="0.35">
      <c r="B688" s="750"/>
    </row>
    <row r="689" spans="2:2" ht="15.75" customHeight="1" x14ac:dyDescent="0.35">
      <c r="B689" s="750"/>
    </row>
    <row r="690" spans="2:2" ht="15.75" customHeight="1" x14ac:dyDescent="0.35">
      <c r="B690" s="750"/>
    </row>
    <row r="691" spans="2:2" ht="15.75" customHeight="1" x14ac:dyDescent="0.35">
      <c r="B691" s="750"/>
    </row>
    <row r="692" spans="2:2" ht="15.75" customHeight="1" x14ac:dyDescent="0.35">
      <c r="B692" s="750"/>
    </row>
    <row r="693" spans="2:2" ht="15.75" customHeight="1" x14ac:dyDescent="0.35">
      <c r="B693" s="750"/>
    </row>
    <row r="694" spans="2:2" ht="15.75" customHeight="1" x14ac:dyDescent="0.35">
      <c r="B694" s="750"/>
    </row>
    <row r="695" spans="2:2" ht="15.75" customHeight="1" x14ac:dyDescent="0.35">
      <c r="B695" s="750"/>
    </row>
    <row r="696" spans="2:2" ht="15.75" customHeight="1" x14ac:dyDescent="0.35">
      <c r="B696" s="750"/>
    </row>
    <row r="697" spans="2:2" ht="15.75" customHeight="1" x14ac:dyDescent="0.35">
      <c r="B697" s="750"/>
    </row>
    <row r="698" spans="2:2" ht="15.75" customHeight="1" x14ac:dyDescent="0.35">
      <c r="B698" s="750"/>
    </row>
    <row r="699" spans="2:2" ht="15.75" customHeight="1" x14ac:dyDescent="0.35">
      <c r="B699" s="750"/>
    </row>
    <row r="700" spans="2:2" ht="15.75" customHeight="1" x14ac:dyDescent="0.35">
      <c r="B700" s="750"/>
    </row>
    <row r="701" spans="2:2" ht="15.75" customHeight="1" x14ac:dyDescent="0.35">
      <c r="B701" s="750"/>
    </row>
    <row r="702" spans="2:2" ht="15.75" customHeight="1" x14ac:dyDescent="0.35">
      <c r="B702" s="750"/>
    </row>
    <row r="703" spans="2:2" ht="15.75" customHeight="1" x14ac:dyDescent="0.35">
      <c r="B703" s="750"/>
    </row>
    <row r="704" spans="2:2" ht="15.75" customHeight="1" x14ac:dyDescent="0.35">
      <c r="B704" s="750"/>
    </row>
    <row r="705" spans="2:2" ht="15.75" customHeight="1" x14ac:dyDescent="0.35">
      <c r="B705" s="750"/>
    </row>
    <row r="706" spans="2:2" ht="15.75" customHeight="1" x14ac:dyDescent="0.35">
      <c r="B706" s="750"/>
    </row>
    <row r="707" spans="2:2" ht="15.75" customHeight="1" x14ac:dyDescent="0.35">
      <c r="B707" s="750"/>
    </row>
    <row r="708" spans="2:2" ht="15.75" customHeight="1" x14ac:dyDescent="0.35">
      <c r="B708" s="750"/>
    </row>
    <row r="709" spans="2:2" ht="15.75" customHeight="1" x14ac:dyDescent="0.35">
      <c r="B709" s="750"/>
    </row>
    <row r="710" spans="2:2" ht="15.75" customHeight="1" x14ac:dyDescent="0.35">
      <c r="B710" s="750"/>
    </row>
    <row r="711" spans="2:2" ht="15.75" customHeight="1" x14ac:dyDescent="0.35">
      <c r="B711" s="750"/>
    </row>
    <row r="712" spans="2:2" ht="15.75" customHeight="1" x14ac:dyDescent="0.35">
      <c r="B712" s="750"/>
    </row>
    <row r="713" spans="2:2" ht="15.75" customHeight="1" x14ac:dyDescent="0.35">
      <c r="B713" s="750"/>
    </row>
    <row r="714" spans="2:2" ht="15.75" customHeight="1" x14ac:dyDescent="0.35">
      <c r="B714" s="750"/>
    </row>
    <row r="715" spans="2:2" ht="15.75" customHeight="1" x14ac:dyDescent="0.35">
      <c r="B715" s="750"/>
    </row>
    <row r="716" spans="2:2" ht="15.75" customHeight="1" x14ac:dyDescent="0.35">
      <c r="B716" s="750"/>
    </row>
    <row r="717" spans="2:2" ht="15.75" customHeight="1" x14ac:dyDescent="0.35">
      <c r="B717" s="750"/>
    </row>
    <row r="718" spans="2:2" ht="15.75" customHeight="1" x14ac:dyDescent="0.35">
      <c r="B718" s="750"/>
    </row>
    <row r="719" spans="2:2" ht="15.75" customHeight="1" x14ac:dyDescent="0.35">
      <c r="B719" s="750"/>
    </row>
    <row r="720" spans="2:2" ht="15.75" customHeight="1" x14ac:dyDescent="0.35">
      <c r="B720" s="750"/>
    </row>
    <row r="721" spans="2:2" ht="15.75" customHeight="1" x14ac:dyDescent="0.35">
      <c r="B721" s="750"/>
    </row>
    <row r="722" spans="2:2" ht="15.75" customHeight="1" x14ac:dyDescent="0.35">
      <c r="B722" s="750"/>
    </row>
    <row r="723" spans="2:2" ht="15.75" customHeight="1" x14ac:dyDescent="0.35">
      <c r="B723" s="750"/>
    </row>
    <row r="724" spans="2:2" ht="15.75" customHeight="1" x14ac:dyDescent="0.35">
      <c r="B724" s="750"/>
    </row>
    <row r="725" spans="2:2" ht="15.75" customHeight="1" x14ac:dyDescent="0.35">
      <c r="B725" s="750"/>
    </row>
    <row r="726" spans="2:2" ht="15.75" customHeight="1" x14ac:dyDescent="0.35">
      <c r="B726" s="750"/>
    </row>
    <row r="727" spans="2:2" ht="15.75" customHeight="1" x14ac:dyDescent="0.35">
      <c r="B727" s="750"/>
    </row>
    <row r="728" spans="2:2" ht="15.75" customHeight="1" x14ac:dyDescent="0.35">
      <c r="B728" s="750"/>
    </row>
    <row r="729" spans="2:2" ht="15.75" customHeight="1" x14ac:dyDescent="0.35">
      <c r="B729" s="750"/>
    </row>
    <row r="730" spans="2:2" ht="15.75" customHeight="1" x14ac:dyDescent="0.35">
      <c r="B730" s="750"/>
    </row>
    <row r="731" spans="2:2" ht="15.75" customHeight="1" x14ac:dyDescent="0.35">
      <c r="B731" s="750"/>
    </row>
    <row r="732" spans="2:2" ht="15.75" customHeight="1" x14ac:dyDescent="0.35">
      <c r="B732" s="750"/>
    </row>
    <row r="733" spans="2:2" ht="15.75" customHeight="1" x14ac:dyDescent="0.35">
      <c r="B733" s="750"/>
    </row>
    <row r="734" spans="2:2" ht="15.75" customHeight="1" x14ac:dyDescent="0.35">
      <c r="B734" s="750"/>
    </row>
    <row r="735" spans="2:2" ht="15.75" customHeight="1" x14ac:dyDescent="0.35">
      <c r="B735" s="750"/>
    </row>
    <row r="736" spans="2:2" ht="15.75" customHeight="1" x14ac:dyDescent="0.35">
      <c r="B736" s="750"/>
    </row>
    <row r="737" spans="2:2" ht="15.75" customHeight="1" x14ac:dyDescent="0.35">
      <c r="B737" s="750"/>
    </row>
    <row r="738" spans="2:2" ht="15.75" customHeight="1" x14ac:dyDescent="0.35">
      <c r="B738" s="750"/>
    </row>
    <row r="739" spans="2:2" ht="15.75" customHeight="1" x14ac:dyDescent="0.35">
      <c r="B739" s="750"/>
    </row>
    <row r="740" spans="2:2" ht="15.75" customHeight="1" x14ac:dyDescent="0.35">
      <c r="B740" s="750"/>
    </row>
    <row r="741" spans="2:2" ht="15.75" customHeight="1" x14ac:dyDescent="0.35">
      <c r="B741" s="750"/>
    </row>
    <row r="742" spans="2:2" ht="15.75" customHeight="1" x14ac:dyDescent="0.35">
      <c r="B742" s="750"/>
    </row>
    <row r="743" spans="2:2" ht="15.75" customHeight="1" x14ac:dyDescent="0.35">
      <c r="B743" s="750"/>
    </row>
    <row r="744" spans="2:2" ht="15.75" customHeight="1" x14ac:dyDescent="0.35">
      <c r="B744" s="750"/>
    </row>
    <row r="745" spans="2:2" ht="15.75" customHeight="1" x14ac:dyDescent="0.35">
      <c r="B745" s="750"/>
    </row>
    <row r="746" spans="2:2" ht="15.75" customHeight="1" x14ac:dyDescent="0.35">
      <c r="B746" s="750"/>
    </row>
    <row r="747" spans="2:2" ht="15.75" customHeight="1" x14ac:dyDescent="0.35">
      <c r="B747" s="750"/>
    </row>
    <row r="748" spans="2:2" ht="15.75" customHeight="1" x14ac:dyDescent="0.35">
      <c r="B748" s="750"/>
    </row>
    <row r="749" spans="2:2" ht="15.75" customHeight="1" x14ac:dyDescent="0.35">
      <c r="B749" s="750"/>
    </row>
    <row r="750" spans="2:2" ht="15.75" customHeight="1" x14ac:dyDescent="0.35">
      <c r="B750" s="750"/>
    </row>
    <row r="751" spans="2:2" ht="15.75" customHeight="1" x14ac:dyDescent="0.35">
      <c r="B751" s="750"/>
    </row>
    <row r="752" spans="2:2" ht="15.75" customHeight="1" x14ac:dyDescent="0.35">
      <c r="B752" s="750"/>
    </row>
    <row r="753" spans="2:2" ht="15.75" customHeight="1" x14ac:dyDescent="0.35">
      <c r="B753" s="750"/>
    </row>
    <row r="754" spans="2:2" ht="15.75" customHeight="1" x14ac:dyDescent="0.35">
      <c r="B754" s="750"/>
    </row>
    <row r="755" spans="2:2" ht="15.75" customHeight="1" x14ac:dyDescent="0.35">
      <c r="B755" s="750"/>
    </row>
    <row r="756" spans="2:2" ht="15.75" customHeight="1" x14ac:dyDescent="0.35">
      <c r="B756" s="750"/>
    </row>
    <row r="757" spans="2:2" ht="15.75" customHeight="1" x14ac:dyDescent="0.35">
      <c r="B757" s="750"/>
    </row>
    <row r="758" spans="2:2" ht="15.75" customHeight="1" x14ac:dyDescent="0.35">
      <c r="B758" s="750"/>
    </row>
    <row r="759" spans="2:2" ht="15.75" customHeight="1" x14ac:dyDescent="0.35">
      <c r="B759" s="750"/>
    </row>
    <row r="760" spans="2:2" ht="15.75" customHeight="1" x14ac:dyDescent="0.35">
      <c r="B760" s="750"/>
    </row>
    <row r="761" spans="2:2" ht="15.75" customHeight="1" x14ac:dyDescent="0.35">
      <c r="B761" s="750"/>
    </row>
    <row r="762" spans="2:2" ht="15.75" customHeight="1" x14ac:dyDescent="0.35">
      <c r="B762" s="750"/>
    </row>
    <row r="763" spans="2:2" ht="15.75" customHeight="1" x14ac:dyDescent="0.35">
      <c r="B763" s="750"/>
    </row>
    <row r="764" spans="2:2" ht="15.75" customHeight="1" x14ac:dyDescent="0.35">
      <c r="B764" s="750"/>
    </row>
    <row r="765" spans="2:2" ht="15.75" customHeight="1" x14ac:dyDescent="0.35">
      <c r="B765" s="750"/>
    </row>
    <row r="766" spans="2:2" ht="15.75" customHeight="1" x14ac:dyDescent="0.35">
      <c r="B766" s="750"/>
    </row>
    <row r="767" spans="2:2" ht="15.75" customHeight="1" x14ac:dyDescent="0.35">
      <c r="B767" s="750"/>
    </row>
    <row r="768" spans="2:2" ht="15.75" customHeight="1" x14ac:dyDescent="0.35">
      <c r="B768" s="750"/>
    </row>
    <row r="769" spans="2:2" ht="15.75" customHeight="1" x14ac:dyDescent="0.35">
      <c r="B769" s="750"/>
    </row>
    <row r="770" spans="2:2" ht="15.75" customHeight="1" x14ac:dyDescent="0.35">
      <c r="B770" s="750"/>
    </row>
    <row r="771" spans="2:2" ht="15.75" customHeight="1" x14ac:dyDescent="0.35">
      <c r="B771" s="750"/>
    </row>
    <row r="772" spans="2:2" ht="15.75" customHeight="1" x14ac:dyDescent="0.35">
      <c r="B772" s="750"/>
    </row>
    <row r="773" spans="2:2" ht="15.75" customHeight="1" x14ac:dyDescent="0.35">
      <c r="B773" s="750"/>
    </row>
    <row r="774" spans="2:2" ht="15.75" customHeight="1" x14ac:dyDescent="0.35">
      <c r="B774" s="750"/>
    </row>
    <row r="775" spans="2:2" ht="15.75" customHeight="1" x14ac:dyDescent="0.35">
      <c r="B775" s="750"/>
    </row>
    <row r="776" spans="2:2" ht="15.75" customHeight="1" x14ac:dyDescent="0.35">
      <c r="B776" s="750"/>
    </row>
    <row r="777" spans="2:2" ht="15.75" customHeight="1" x14ac:dyDescent="0.35">
      <c r="B777" s="750"/>
    </row>
    <row r="778" spans="2:2" ht="15.75" customHeight="1" x14ac:dyDescent="0.35">
      <c r="B778" s="750"/>
    </row>
    <row r="779" spans="2:2" ht="15.75" customHeight="1" x14ac:dyDescent="0.35">
      <c r="B779" s="750"/>
    </row>
    <row r="780" spans="2:2" ht="15.75" customHeight="1" x14ac:dyDescent="0.35">
      <c r="B780" s="750"/>
    </row>
    <row r="781" spans="2:2" ht="15.75" customHeight="1" x14ac:dyDescent="0.35">
      <c r="B781" s="750"/>
    </row>
    <row r="782" spans="2:2" ht="15.75" customHeight="1" x14ac:dyDescent="0.35">
      <c r="B782" s="750"/>
    </row>
    <row r="783" spans="2:2" ht="15.75" customHeight="1" x14ac:dyDescent="0.35">
      <c r="B783" s="750"/>
    </row>
    <row r="784" spans="2:2" ht="15.75" customHeight="1" x14ac:dyDescent="0.35">
      <c r="B784" s="750"/>
    </row>
    <row r="785" spans="2:2" ht="15.75" customHeight="1" x14ac:dyDescent="0.35">
      <c r="B785" s="750"/>
    </row>
    <row r="786" spans="2:2" ht="15.75" customHeight="1" x14ac:dyDescent="0.35">
      <c r="B786" s="750"/>
    </row>
    <row r="787" spans="2:2" ht="15.75" customHeight="1" x14ac:dyDescent="0.35">
      <c r="B787" s="750"/>
    </row>
    <row r="788" spans="2:2" ht="15.75" customHeight="1" x14ac:dyDescent="0.35">
      <c r="B788" s="750"/>
    </row>
    <row r="789" spans="2:2" ht="15.75" customHeight="1" x14ac:dyDescent="0.35">
      <c r="B789" s="750"/>
    </row>
    <row r="790" spans="2:2" ht="15.75" customHeight="1" x14ac:dyDescent="0.35">
      <c r="B790" s="750"/>
    </row>
    <row r="791" spans="2:2" ht="15.75" customHeight="1" x14ac:dyDescent="0.35">
      <c r="B791" s="750"/>
    </row>
    <row r="792" spans="2:2" ht="15.75" customHeight="1" x14ac:dyDescent="0.35">
      <c r="B792" s="750"/>
    </row>
    <row r="793" spans="2:2" ht="15.75" customHeight="1" x14ac:dyDescent="0.35">
      <c r="B793" s="750"/>
    </row>
    <row r="794" spans="2:2" ht="15.75" customHeight="1" x14ac:dyDescent="0.35">
      <c r="B794" s="750"/>
    </row>
    <row r="795" spans="2:2" ht="15.75" customHeight="1" x14ac:dyDescent="0.35">
      <c r="B795" s="750"/>
    </row>
    <row r="796" spans="2:2" ht="15.75" customHeight="1" x14ac:dyDescent="0.35">
      <c r="B796" s="750"/>
    </row>
    <row r="797" spans="2:2" ht="15.75" customHeight="1" x14ac:dyDescent="0.35">
      <c r="B797" s="750"/>
    </row>
    <row r="798" spans="2:2" ht="15.75" customHeight="1" x14ac:dyDescent="0.35">
      <c r="B798" s="750"/>
    </row>
    <row r="799" spans="2:2" ht="15.75" customHeight="1" x14ac:dyDescent="0.35">
      <c r="B799" s="750"/>
    </row>
    <row r="800" spans="2:2" ht="15.75" customHeight="1" x14ac:dyDescent="0.35">
      <c r="B800" s="750"/>
    </row>
    <row r="801" spans="2:2" ht="15.75" customHeight="1" x14ac:dyDescent="0.35">
      <c r="B801" s="750"/>
    </row>
    <row r="802" spans="2:2" ht="15.75" customHeight="1" x14ac:dyDescent="0.35">
      <c r="B802" s="750"/>
    </row>
    <row r="803" spans="2:2" ht="15.75" customHeight="1" x14ac:dyDescent="0.35">
      <c r="B803" s="750"/>
    </row>
    <row r="804" spans="2:2" ht="15.75" customHeight="1" x14ac:dyDescent="0.35">
      <c r="B804" s="750"/>
    </row>
    <row r="805" spans="2:2" ht="15.75" customHeight="1" x14ac:dyDescent="0.35">
      <c r="B805" s="750"/>
    </row>
    <row r="806" spans="2:2" ht="15.75" customHeight="1" x14ac:dyDescent="0.35">
      <c r="B806" s="750"/>
    </row>
    <row r="807" spans="2:2" ht="15.75" customHeight="1" x14ac:dyDescent="0.35">
      <c r="B807" s="750"/>
    </row>
    <row r="808" spans="2:2" ht="15.75" customHeight="1" x14ac:dyDescent="0.35">
      <c r="B808" s="750"/>
    </row>
    <row r="809" spans="2:2" ht="15.75" customHeight="1" x14ac:dyDescent="0.35">
      <c r="B809" s="750"/>
    </row>
    <row r="810" spans="2:2" ht="15.75" customHeight="1" x14ac:dyDescent="0.35">
      <c r="B810" s="750"/>
    </row>
    <row r="811" spans="2:2" ht="15.75" customHeight="1" x14ac:dyDescent="0.35">
      <c r="B811" s="750"/>
    </row>
    <row r="812" spans="2:2" ht="15.75" customHeight="1" x14ac:dyDescent="0.35">
      <c r="B812" s="750"/>
    </row>
    <row r="813" spans="2:2" ht="15.75" customHeight="1" x14ac:dyDescent="0.35">
      <c r="B813" s="750"/>
    </row>
    <row r="814" spans="2:2" ht="15.75" customHeight="1" x14ac:dyDescent="0.35">
      <c r="B814" s="750"/>
    </row>
    <row r="815" spans="2:2" ht="15.75" customHeight="1" x14ac:dyDescent="0.35">
      <c r="B815" s="750"/>
    </row>
    <row r="816" spans="2:2" ht="15.75" customHeight="1" x14ac:dyDescent="0.35">
      <c r="B816" s="750"/>
    </row>
    <row r="817" spans="2:2" ht="15.75" customHeight="1" x14ac:dyDescent="0.35">
      <c r="B817" s="750"/>
    </row>
    <row r="818" spans="2:2" ht="15.75" customHeight="1" x14ac:dyDescent="0.35">
      <c r="B818" s="750"/>
    </row>
    <row r="819" spans="2:2" ht="15.75" customHeight="1" x14ac:dyDescent="0.35">
      <c r="B819" s="750"/>
    </row>
    <row r="820" spans="2:2" ht="15.75" customHeight="1" x14ac:dyDescent="0.35">
      <c r="B820" s="750"/>
    </row>
    <row r="821" spans="2:2" ht="15.75" customHeight="1" x14ac:dyDescent="0.35">
      <c r="B821" s="750"/>
    </row>
    <row r="822" spans="2:2" ht="15.75" customHeight="1" x14ac:dyDescent="0.35">
      <c r="B822" s="750"/>
    </row>
    <row r="823" spans="2:2" ht="15.75" customHeight="1" x14ac:dyDescent="0.35">
      <c r="B823" s="750"/>
    </row>
    <row r="824" spans="2:2" ht="15.75" customHeight="1" x14ac:dyDescent="0.35">
      <c r="B824" s="750"/>
    </row>
    <row r="825" spans="2:2" ht="15.75" customHeight="1" x14ac:dyDescent="0.35">
      <c r="B825" s="750"/>
    </row>
    <row r="826" spans="2:2" ht="15.75" customHeight="1" x14ac:dyDescent="0.35">
      <c r="B826" s="750"/>
    </row>
    <row r="827" spans="2:2" ht="15.75" customHeight="1" x14ac:dyDescent="0.35">
      <c r="B827" s="750"/>
    </row>
    <row r="828" spans="2:2" ht="15.75" customHeight="1" x14ac:dyDescent="0.35">
      <c r="B828" s="750"/>
    </row>
    <row r="829" spans="2:2" ht="15.75" customHeight="1" x14ac:dyDescent="0.35">
      <c r="B829" s="750"/>
    </row>
    <row r="830" spans="2:2" ht="15.75" customHeight="1" x14ac:dyDescent="0.35">
      <c r="B830" s="750"/>
    </row>
    <row r="831" spans="2:2" ht="15.75" customHeight="1" x14ac:dyDescent="0.35">
      <c r="B831" s="750"/>
    </row>
    <row r="832" spans="2:2" ht="15.75" customHeight="1" x14ac:dyDescent="0.35">
      <c r="B832" s="750"/>
    </row>
    <row r="833" spans="2:2" ht="15.75" customHeight="1" x14ac:dyDescent="0.35">
      <c r="B833" s="750"/>
    </row>
    <row r="834" spans="2:2" ht="15.75" customHeight="1" x14ac:dyDescent="0.35">
      <c r="B834" s="750"/>
    </row>
    <row r="835" spans="2:2" ht="15.75" customHeight="1" x14ac:dyDescent="0.35">
      <c r="B835" s="750"/>
    </row>
    <row r="836" spans="2:2" ht="15.75" customHeight="1" x14ac:dyDescent="0.35">
      <c r="B836" s="750"/>
    </row>
    <row r="837" spans="2:2" ht="15.75" customHeight="1" x14ac:dyDescent="0.35">
      <c r="B837" s="750"/>
    </row>
    <row r="838" spans="2:2" ht="15.75" customHeight="1" x14ac:dyDescent="0.35">
      <c r="B838" s="750"/>
    </row>
    <row r="839" spans="2:2" ht="15.75" customHeight="1" x14ac:dyDescent="0.35">
      <c r="B839" s="750"/>
    </row>
    <row r="840" spans="2:2" ht="15.75" customHeight="1" x14ac:dyDescent="0.35">
      <c r="B840" s="750"/>
    </row>
    <row r="841" spans="2:2" ht="15.75" customHeight="1" x14ac:dyDescent="0.35">
      <c r="B841" s="750"/>
    </row>
    <row r="842" spans="2:2" ht="15.75" customHeight="1" x14ac:dyDescent="0.35">
      <c r="B842" s="750"/>
    </row>
    <row r="843" spans="2:2" ht="15.75" customHeight="1" x14ac:dyDescent="0.35">
      <c r="B843" s="750"/>
    </row>
    <row r="844" spans="2:2" ht="15.75" customHeight="1" x14ac:dyDescent="0.35">
      <c r="B844" s="750"/>
    </row>
    <row r="845" spans="2:2" ht="15.75" customHeight="1" x14ac:dyDescent="0.35">
      <c r="B845" s="750"/>
    </row>
    <row r="846" spans="2:2" ht="15.75" customHeight="1" x14ac:dyDescent="0.35">
      <c r="B846" s="750"/>
    </row>
    <row r="847" spans="2:2" ht="15.75" customHeight="1" x14ac:dyDescent="0.35">
      <c r="B847" s="750"/>
    </row>
    <row r="848" spans="2:2" ht="15.75" customHeight="1" x14ac:dyDescent="0.35">
      <c r="B848" s="750"/>
    </row>
    <row r="849" spans="2:2" ht="15.75" customHeight="1" x14ac:dyDescent="0.35">
      <c r="B849" s="750"/>
    </row>
    <row r="850" spans="2:2" ht="15.75" customHeight="1" x14ac:dyDescent="0.35">
      <c r="B850" s="750"/>
    </row>
    <row r="851" spans="2:2" ht="15.75" customHeight="1" x14ac:dyDescent="0.35">
      <c r="B851" s="750"/>
    </row>
    <row r="852" spans="2:2" ht="15.75" customHeight="1" x14ac:dyDescent="0.35">
      <c r="B852" s="750"/>
    </row>
    <row r="853" spans="2:2" ht="15.75" customHeight="1" x14ac:dyDescent="0.35">
      <c r="B853" s="750"/>
    </row>
    <row r="854" spans="2:2" ht="15.75" customHeight="1" x14ac:dyDescent="0.35">
      <c r="B854" s="750"/>
    </row>
    <row r="855" spans="2:2" ht="15.75" customHeight="1" x14ac:dyDescent="0.35">
      <c r="B855" s="750"/>
    </row>
    <row r="856" spans="2:2" ht="15.75" customHeight="1" x14ac:dyDescent="0.35">
      <c r="B856" s="750"/>
    </row>
    <row r="857" spans="2:2" ht="15.75" customHeight="1" x14ac:dyDescent="0.35">
      <c r="B857" s="750"/>
    </row>
    <row r="858" spans="2:2" ht="15.75" customHeight="1" x14ac:dyDescent="0.35">
      <c r="B858" s="750"/>
    </row>
    <row r="859" spans="2:2" ht="15.75" customHeight="1" x14ac:dyDescent="0.35">
      <c r="B859" s="750"/>
    </row>
    <row r="860" spans="2:2" ht="15.75" customHeight="1" x14ac:dyDescent="0.35">
      <c r="B860" s="750"/>
    </row>
    <row r="861" spans="2:2" ht="15.75" customHeight="1" x14ac:dyDescent="0.35">
      <c r="B861" s="750"/>
    </row>
    <row r="862" spans="2:2" ht="15.75" customHeight="1" x14ac:dyDescent="0.35">
      <c r="B862" s="750"/>
    </row>
    <row r="863" spans="2:2" ht="15.75" customHeight="1" x14ac:dyDescent="0.35">
      <c r="B863" s="750"/>
    </row>
    <row r="864" spans="2:2" ht="15.75" customHeight="1" x14ac:dyDescent="0.35">
      <c r="B864" s="750"/>
    </row>
    <row r="865" spans="2:2" ht="15.75" customHeight="1" x14ac:dyDescent="0.35">
      <c r="B865" s="750"/>
    </row>
    <row r="866" spans="2:2" ht="15.75" customHeight="1" x14ac:dyDescent="0.35">
      <c r="B866" s="750"/>
    </row>
    <row r="867" spans="2:2" ht="15.75" customHeight="1" x14ac:dyDescent="0.35">
      <c r="B867" s="750"/>
    </row>
    <row r="868" spans="2:2" ht="15.75" customHeight="1" x14ac:dyDescent="0.35">
      <c r="B868" s="750"/>
    </row>
    <row r="869" spans="2:2" ht="15.75" customHeight="1" x14ac:dyDescent="0.35">
      <c r="B869" s="750"/>
    </row>
    <row r="870" spans="2:2" ht="15.75" customHeight="1" x14ac:dyDescent="0.35">
      <c r="B870" s="750"/>
    </row>
    <row r="871" spans="2:2" ht="15.75" customHeight="1" x14ac:dyDescent="0.35">
      <c r="B871" s="750"/>
    </row>
    <row r="872" spans="2:2" ht="15.75" customHeight="1" x14ac:dyDescent="0.35">
      <c r="B872" s="750"/>
    </row>
    <row r="873" spans="2:2" ht="15.75" customHeight="1" x14ac:dyDescent="0.35">
      <c r="B873" s="750"/>
    </row>
    <row r="874" spans="2:2" ht="15.75" customHeight="1" x14ac:dyDescent="0.35">
      <c r="B874" s="750"/>
    </row>
    <row r="875" spans="2:2" ht="15.75" customHeight="1" x14ac:dyDescent="0.35">
      <c r="B875" s="750"/>
    </row>
    <row r="876" spans="2:2" ht="15.75" customHeight="1" x14ac:dyDescent="0.35">
      <c r="B876" s="750"/>
    </row>
    <row r="877" spans="2:2" ht="15.75" customHeight="1" x14ac:dyDescent="0.35">
      <c r="B877" s="750"/>
    </row>
    <row r="878" spans="2:2" ht="15.75" customHeight="1" x14ac:dyDescent="0.35">
      <c r="B878" s="750"/>
    </row>
    <row r="879" spans="2:2" ht="15.75" customHeight="1" x14ac:dyDescent="0.35">
      <c r="B879" s="750"/>
    </row>
    <row r="880" spans="2:2" ht="15.75" customHeight="1" x14ac:dyDescent="0.35">
      <c r="B880" s="750"/>
    </row>
    <row r="881" spans="2:2" ht="15.75" customHeight="1" x14ac:dyDescent="0.35">
      <c r="B881" s="750"/>
    </row>
    <row r="882" spans="2:2" ht="15.75" customHeight="1" x14ac:dyDescent="0.35">
      <c r="B882" s="750"/>
    </row>
    <row r="883" spans="2:2" ht="15.75" customHeight="1" x14ac:dyDescent="0.35">
      <c r="B883" s="750"/>
    </row>
    <row r="884" spans="2:2" ht="15.75" customHeight="1" x14ac:dyDescent="0.35">
      <c r="B884" s="750"/>
    </row>
    <row r="885" spans="2:2" ht="15.75" customHeight="1" x14ac:dyDescent="0.35">
      <c r="B885" s="750"/>
    </row>
    <row r="886" spans="2:2" ht="15.75" customHeight="1" x14ac:dyDescent="0.35">
      <c r="B886" s="750"/>
    </row>
    <row r="887" spans="2:2" ht="15.75" customHeight="1" x14ac:dyDescent="0.35">
      <c r="B887" s="750"/>
    </row>
    <row r="888" spans="2:2" ht="15.75" customHeight="1" x14ac:dyDescent="0.35">
      <c r="B888" s="750"/>
    </row>
    <row r="889" spans="2:2" ht="15.75" customHeight="1" x14ac:dyDescent="0.35">
      <c r="B889" s="750"/>
    </row>
    <row r="890" spans="2:2" ht="15.75" customHeight="1" x14ac:dyDescent="0.35">
      <c r="B890" s="750"/>
    </row>
    <row r="891" spans="2:2" ht="15.75" customHeight="1" x14ac:dyDescent="0.35">
      <c r="B891" s="750"/>
    </row>
    <row r="892" spans="2:2" ht="15.75" customHeight="1" x14ac:dyDescent="0.35">
      <c r="B892" s="750"/>
    </row>
    <row r="893" spans="2:2" ht="15.75" customHeight="1" x14ac:dyDescent="0.35">
      <c r="B893" s="750"/>
    </row>
    <row r="894" spans="2:2" ht="15.75" customHeight="1" x14ac:dyDescent="0.35">
      <c r="B894" s="750"/>
    </row>
    <row r="895" spans="2:2" ht="15.75" customHeight="1" x14ac:dyDescent="0.35">
      <c r="B895" s="750"/>
    </row>
    <row r="896" spans="2:2" ht="15.75" customHeight="1" x14ac:dyDescent="0.35">
      <c r="B896" s="750"/>
    </row>
    <row r="897" spans="2:2" ht="15.75" customHeight="1" x14ac:dyDescent="0.35">
      <c r="B897" s="750"/>
    </row>
    <row r="898" spans="2:2" ht="15.75" customHeight="1" x14ac:dyDescent="0.35">
      <c r="B898" s="750"/>
    </row>
    <row r="899" spans="2:2" ht="15.75" customHeight="1" x14ac:dyDescent="0.35">
      <c r="B899" s="750"/>
    </row>
    <row r="900" spans="2:2" ht="15.75" customHeight="1" x14ac:dyDescent="0.35">
      <c r="B900" s="750"/>
    </row>
    <row r="901" spans="2:2" ht="15.75" customHeight="1" x14ac:dyDescent="0.35">
      <c r="B901" s="750"/>
    </row>
    <row r="902" spans="2:2" ht="15.75" customHeight="1" x14ac:dyDescent="0.35">
      <c r="B902" s="750"/>
    </row>
    <row r="903" spans="2:2" ht="15.75" customHeight="1" x14ac:dyDescent="0.35">
      <c r="B903" s="750"/>
    </row>
    <row r="904" spans="2:2" ht="15.75" customHeight="1" x14ac:dyDescent="0.35">
      <c r="B904" s="750"/>
    </row>
    <row r="905" spans="2:2" ht="15.75" customHeight="1" x14ac:dyDescent="0.35">
      <c r="B905" s="750"/>
    </row>
    <row r="906" spans="2:2" ht="15.75" customHeight="1" x14ac:dyDescent="0.35">
      <c r="B906" s="750"/>
    </row>
    <row r="907" spans="2:2" ht="15.75" customHeight="1" x14ac:dyDescent="0.35">
      <c r="B907" s="750"/>
    </row>
    <row r="908" spans="2:2" ht="15.75" customHeight="1" x14ac:dyDescent="0.35">
      <c r="B908" s="750"/>
    </row>
    <row r="909" spans="2:2" ht="15.75" customHeight="1" x14ac:dyDescent="0.35">
      <c r="B909" s="750"/>
    </row>
    <row r="910" spans="2:2" ht="15.75" customHeight="1" x14ac:dyDescent="0.35">
      <c r="B910" s="750"/>
    </row>
    <row r="911" spans="2:2" ht="15.75" customHeight="1" x14ac:dyDescent="0.35">
      <c r="B911" s="750"/>
    </row>
    <row r="912" spans="2:2" ht="15.75" customHeight="1" x14ac:dyDescent="0.35">
      <c r="B912" s="750"/>
    </row>
    <row r="913" spans="2:2" ht="15.75" customHeight="1" x14ac:dyDescent="0.35">
      <c r="B913" s="750"/>
    </row>
    <row r="914" spans="2:2" ht="15.75" customHeight="1" x14ac:dyDescent="0.35">
      <c r="B914" s="750"/>
    </row>
    <row r="915" spans="2:2" ht="15.75" customHeight="1" x14ac:dyDescent="0.35">
      <c r="B915" s="750"/>
    </row>
    <row r="916" spans="2:2" ht="15.75" customHeight="1" x14ac:dyDescent="0.35">
      <c r="B916" s="750"/>
    </row>
    <row r="917" spans="2:2" ht="15.75" customHeight="1" x14ac:dyDescent="0.35">
      <c r="B917" s="750"/>
    </row>
    <row r="918" spans="2:2" ht="15.75" customHeight="1" x14ac:dyDescent="0.35">
      <c r="B918" s="750"/>
    </row>
    <row r="919" spans="2:2" ht="15.75" customHeight="1" x14ac:dyDescent="0.35">
      <c r="B919" s="750"/>
    </row>
    <row r="920" spans="2:2" ht="15.75" customHeight="1" x14ac:dyDescent="0.35">
      <c r="B920" s="750"/>
    </row>
    <row r="921" spans="2:2" ht="15.75" customHeight="1" x14ac:dyDescent="0.35">
      <c r="B921" s="750"/>
    </row>
    <row r="922" spans="2:2" ht="15.75" customHeight="1" x14ac:dyDescent="0.35">
      <c r="B922" s="750"/>
    </row>
    <row r="923" spans="2:2" ht="15.75" customHeight="1" x14ac:dyDescent="0.35">
      <c r="B923" s="750"/>
    </row>
    <row r="924" spans="2:2" ht="15.75" customHeight="1" x14ac:dyDescent="0.35">
      <c r="B924" s="750"/>
    </row>
    <row r="925" spans="2:2" ht="15.75" customHeight="1" x14ac:dyDescent="0.35">
      <c r="B925" s="750"/>
    </row>
    <row r="926" spans="2:2" ht="15.75" customHeight="1" x14ac:dyDescent="0.35">
      <c r="B926" s="750"/>
    </row>
    <row r="927" spans="2:2" ht="15.75" customHeight="1" x14ac:dyDescent="0.35">
      <c r="B927" s="750"/>
    </row>
    <row r="928" spans="2:2" ht="15.75" customHeight="1" x14ac:dyDescent="0.35">
      <c r="B928" s="750"/>
    </row>
    <row r="929" spans="2:2" ht="15.75" customHeight="1" x14ac:dyDescent="0.35">
      <c r="B929" s="750"/>
    </row>
    <row r="930" spans="2:2" ht="15.75" customHeight="1" x14ac:dyDescent="0.35">
      <c r="B930" s="750"/>
    </row>
    <row r="931" spans="2:2" ht="15.75" customHeight="1" x14ac:dyDescent="0.35">
      <c r="B931" s="750"/>
    </row>
    <row r="932" spans="2:2" ht="15.75" customHeight="1" x14ac:dyDescent="0.35">
      <c r="B932" s="750"/>
    </row>
    <row r="933" spans="2:2" ht="15.75" customHeight="1" x14ac:dyDescent="0.35">
      <c r="B933" s="750"/>
    </row>
    <row r="934" spans="2:2" ht="15.75" customHeight="1" x14ac:dyDescent="0.35">
      <c r="B934" s="750"/>
    </row>
    <row r="935" spans="2:2" ht="15.75" customHeight="1" x14ac:dyDescent="0.35">
      <c r="B935" s="750"/>
    </row>
    <row r="936" spans="2:2" ht="15.75" customHeight="1" x14ac:dyDescent="0.35">
      <c r="B936" s="750"/>
    </row>
    <row r="937" spans="2:2" ht="15.75" customHeight="1" x14ac:dyDescent="0.35">
      <c r="B937" s="750"/>
    </row>
    <row r="938" spans="2:2" ht="15.75" customHeight="1" x14ac:dyDescent="0.35">
      <c r="B938" s="750"/>
    </row>
    <row r="939" spans="2:2" ht="15.75" customHeight="1" x14ac:dyDescent="0.35">
      <c r="B939" s="750"/>
    </row>
    <row r="940" spans="2:2" ht="15.75" customHeight="1" x14ac:dyDescent="0.35">
      <c r="B940" s="750"/>
    </row>
    <row r="941" spans="2:2" ht="15.75" customHeight="1" x14ac:dyDescent="0.35">
      <c r="B941" s="750"/>
    </row>
    <row r="942" spans="2:2" ht="15.75" customHeight="1" x14ac:dyDescent="0.35">
      <c r="B942" s="750"/>
    </row>
    <row r="943" spans="2:2" ht="15.75" customHeight="1" x14ac:dyDescent="0.35">
      <c r="B943" s="750"/>
    </row>
    <row r="944" spans="2:2" ht="15.75" customHeight="1" x14ac:dyDescent="0.35">
      <c r="B944" s="750"/>
    </row>
    <row r="945" spans="2:2" ht="15.75" customHeight="1" x14ac:dyDescent="0.35">
      <c r="B945" s="750"/>
    </row>
    <row r="946" spans="2:2" ht="15.75" customHeight="1" x14ac:dyDescent="0.35">
      <c r="B946" s="750"/>
    </row>
    <row r="947" spans="2:2" ht="15.75" customHeight="1" x14ac:dyDescent="0.35">
      <c r="B947" s="750"/>
    </row>
    <row r="948" spans="2:2" ht="15.75" customHeight="1" x14ac:dyDescent="0.35">
      <c r="B948" s="750"/>
    </row>
    <row r="949" spans="2:2" ht="15.75" customHeight="1" x14ac:dyDescent="0.35">
      <c r="B949" s="750"/>
    </row>
    <row r="950" spans="2:2" ht="15.75" customHeight="1" x14ac:dyDescent="0.35">
      <c r="B950" s="750"/>
    </row>
    <row r="951" spans="2:2" ht="15.75" customHeight="1" x14ac:dyDescent="0.35">
      <c r="B951" s="750"/>
    </row>
    <row r="952" spans="2:2" ht="15.75" customHeight="1" x14ac:dyDescent="0.35">
      <c r="B952" s="750"/>
    </row>
    <row r="953" spans="2:2" ht="15.75" customHeight="1" x14ac:dyDescent="0.35">
      <c r="B953" s="750"/>
    </row>
    <row r="954" spans="2:2" ht="15.75" customHeight="1" x14ac:dyDescent="0.35">
      <c r="B954" s="750"/>
    </row>
    <row r="955" spans="2:2" ht="15.75" customHeight="1" x14ac:dyDescent="0.35">
      <c r="B955" s="750"/>
    </row>
    <row r="956" spans="2:2" ht="15.75" customHeight="1" x14ac:dyDescent="0.35">
      <c r="B956" s="750"/>
    </row>
    <row r="957" spans="2:2" ht="15.75" customHeight="1" x14ac:dyDescent="0.35">
      <c r="B957" s="750"/>
    </row>
    <row r="958" spans="2:2" ht="15.75" customHeight="1" x14ac:dyDescent="0.35">
      <c r="B958" s="750"/>
    </row>
    <row r="959" spans="2:2" ht="15.75" customHeight="1" x14ac:dyDescent="0.35">
      <c r="B959" s="750"/>
    </row>
    <row r="960" spans="2:2" ht="15.75" customHeight="1" x14ac:dyDescent="0.35">
      <c r="B960" s="750"/>
    </row>
    <row r="961" spans="2:2" ht="15.75" customHeight="1" x14ac:dyDescent="0.35">
      <c r="B961" s="750"/>
    </row>
    <row r="962" spans="2:2" ht="15.75" customHeight="1" x14ac:dyDescent="0.35">
      <c r="B962" s="750"/>
    </row>
    <row r="963" spans="2:2" ht="15.75" customHeight="1" x14ac:dyDescent="0.35">
      <c r="B963" s="750"/>
    </row>
    <row r="964" spans="2:2" ht="15.75" customHeight="1" x14ac:dyDescent="0.35">
      <c r="B964" s="750"/>
    </row>
    <row r="965" spans="2:2" ht="15.75" customHeight="1" x14ac:dyDescent="0.35">
      <c r="B965" s="750"/>
    </row>
    <row r="966" spans="2:2" ht="15.75" customHeight="1" x14ac:dyDescent="0.35">
      <c r="B966" s="750"/>
    </row>
    <row r="967" spans="2:2" ht="15.75" customHeight="1" x14ac:dyDescent="0.35">
      <c r="B967" s="750"/>
    </row>
    <row r="968" spans="2:2" ht="15.75" customHeight="1" x14ac:dyDescent="0.35">
      <c r="B968" s="750"/>
    </row>
    <row r="969" spans="2:2" ht="15.75" customHeight="1" x14ac:dyDescent="0.35">
      <c r="B969" s="750"/>
    </row>
    <row r="970" spans="2:2" ht="15.75" customHeight="1" x14ac:dyDescent="0.35">
      <c r="B970" s="750"/>
    </row>
    <row r="971" spans="2:2" ht="15.75" customHeight="1" x14ac:dyDescent="0.35">
      <c r="B971" s="750"/>
    </row>
    <row r="972" spans="2:2" ht="15.75" customHeight="1" x14ac:dyDescent="0.35">
      <c r="B972" s="750"/>
    </row>
    <row r="973" spans="2:2" ht="15.75" customHeight="1" x14ac:dyDescent="0.35">
      <c r="B973" s="750"/>
    </row>
    <row r="974" spans="2:2" ht="15.75" customHeight="1" x14ac:dyDescent="0.35">
      <c r="B974" s="750"/>
    </row>
    <row r="975" spans="2:2" ht="15.75" customHeight="1" x14ac:dyDescent="0.35">
      <c r="B975" s="750"/>
    </row>
    <row r="976" spans="2:2" ht="15.75" customHeight="1" x14ac:dyDescent="0.35">
      <c r="B976" s="750"/>
    </row>
    <row r="977" spans="2:2" ht="15.75" customHeight="1" x14ac:dyDescent="0.35">
      <c r="B977" s="750"/>
    </row>
    <row r="978" spans="2:2" ht="15.75" customHeight="1" x14ac:dyDescent="0.35">
      <c r="B978" s="750"/>
    </row>
    <row r="979" spans="2:2" ht="15.75" customHeight="1" x14ac:dyDescent="0.35">
      <c r="B979" s="750"/>
    </row>
    <row r="980" spans="2:2" ht="15.75" customHeight="1" x14ac:dyDescent="0.35">
      <c r="B980" s="750"/>
    </row>
    <row r="981" spans="2:2" ht="15.75" customHeight="1" x14ac:dyDescent="0.35">
      <c r="B981" s="750"/>
    </row>
    <row r="982" spans="2:2" ht="15.75" customHeight="1" x14ac:dyDescent="0.35">
      <c r="B982" s="750"/>
    </row>
    <row r="983" spans="2:2" ht="15.75" customHeight="1" x14ac:dyDescent="0.35">
      <c r="B983" s="750"/>
    </row>
    <row r="984" spans="2:2" ht="15.75" customHeight="1" x14ac:dyDescent="0.35">
      <c r="B984" s="750"/>
    </row>
    <row r="985" spans="2:2" ht="15.75" customHeight="1" x14ac:dyDescent="0.35">
      <c r="B985" s="750"/>
    </row>
    <row r="986" spans="2:2" ht="15.75" customHeight="1" x14ac:dyDescent="0.35">
      <c r="B986" s="750"/>
    </row>
    <row r="987" spans="2:2" ht="15.75" customHeight="1" x14ac:dyDescent="0.35">
      <c r="B987" s="750"/>
    </row>
    <row r="988" spans="2:2" ht="15.75" customHeight="1" x14ac:dyDescent="0.35">
      <c r="B988" s="750"/>
    </row>
    <row r="989" spans="2:2" ht="15.75" customHeight="1" x14ac:dyDescent="0.35">
      <c r="B989" s="750"/>
    </row>
    <row r="990" spans="2:2" ht="15.75" customHeight="1" x14ac:dyDescent="0.35">
      <c r="B990" s="750"/>
    </row>
    <row r="991" spans="2:2" ht="15.75" customHeight="1" x14ac:dyDescent="0.35">
      <c r="B991" s="750"/>
    </row>
    <row r="992" spans="2:2" ht="15.75" customHeight="1" x14ac:dyDescent="0.35">
      <c r="B992" s="750"/>
    </row>
    <row r="993" spans="2:2" ht="15.75" customHeight="1" x14ac:dyDescent="0.35">
      <c r="B993" s="750"/>
    </row>
    <row r="994" spans="2:2" ht="15.75" customHeight="1" x14ac:dyDescent="0.35">
      <c r="B994" s="750"/>
    </row>
    <row r="995" spans="2:2" ht="15.75" customHeight="1" x14ac:dyDescent="0.35">
      <c r="B995" s="750"/>
    </row>
    <row r="996" spans="2:2" ht="15.75" customHeight="1" x14ac:dyDescent="0.35">
      <c r="B996" s="750"/>
    </row>
    <row r="997" spans="2:2" ht="15.75" customHeight="1" x14ac:dyDescent="0.35">
      <c r="B997" s="750"/>
    </row>
    <row r="998" spans="2:2" ht="15.75" customHeight="1" x14ac:dyDescent="0.35">
      <c r="B998" s="750"/>
    </row>
    <row r="999" spans="2:2" ht="15.75" customHeight="1" x14ac:dyDescent="0.35">
      <c r="B999" s="750"/>
    </row>
    <row r="1000" spans="2:2" ht="15.75" customHeight="1" x14ac:dyDescent="0.35">
      <c r="B1000" s="750"/>
    </row>
    <row r="1001" spans="2:2" ht="15.75" customHeight="1" x14ac:dyDescent="0.35">
      <c r="B1001" s="750"/>
    </row>
    <row r="1002" spans="2:2" ht="15.75" customHeight="1" x14ac:dyDescent="0.35">
      <c r="B1002" s="750"/>
    </row>
    <row r="1003" spans="2:2" ht="15.75" customHeight="1" x14ac:dyDescent="0.35">
      <c r="B1003" s="750"/>
    </row>
    <row r="1004" spans="2:2" ht="15.75" customHeight="1" x14ac:dyDescent="0.35">
      <c r="B1004" s="750"/>
    </row>
  </sheetData>
  <mergeCells count="36">
    <mergeCell ref="D55:F55"/>
    <mergeCell ref="D56:F56"/>
    <mergeCell ref="D57:F57"/>
    <mergeCell ref="P47:Q47"/>
    <mergeCell ref="P48:Q48"/>
    <mergeCell ref="G49:N49"/>
    <mergeCell ref="P49:Q49"/>
    <mergeCell ref="G50:N50"/>
    <mergeCell ref="G54:N54"/>
    <mergeCell ref="G55:N55"/>
    <mergeCell ref="G56:N56"/>
    <mergeCell ref="G57:N57"/>
    <mergeCell ref="D47:F47"/>
    <mergeCell ref="D48:F48"/>
    <mergeCell ref="D52:F52"/>
    <mergeCell ref="R52:S52"/>
    <mergeCell ref="T52:U52"/>
    <mergeCell ref="P53:R53"/>
    <mergeCell ref="T53:U53"/>
    <mergeCell ref="D54:F54"/>
    <mergeCell ref="D53:F53"/>
    <mergeCell ref="B3:W3"/>
    <mergeCell ref="B4:W4"/>
    <mergeCell ref="B5:W5"/>
    <mergeCell ref="B45:C45"/>
    <mergeCell ref="B47:B48"/>
    <mergeCell ref="G47:N47"/>
    <mergeCell ref="G48:N48"/>
    <mergeCell ref="T50:U50"/>
    <mergeCell ref="P51:Q51"/>
    <mergeCell ref="R51:S51"/>
    <mergeCell ref="T51:U51"/>
    <mergeCell ref="G53:N53"/>
    <mergeCell ref="G51:N51"/>
    <mergeCell ref="G52:N52"/>
    <mergeCell ref="P52:Q52"/>
  </mergeCells>
  <pageMargins left="0.7" right="0.7" top="0.75" bottom="0.75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"/>
  <sheetViews>
    <sheetView workbookViewId="0"/>
  </sheetViews>
  <sheetFormatPr defaultColWidth="14.453125" defaultRowHeight="15" customHeight="1" x14ac:dyDescent="0.35"/>
  <sheetData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B2:X1001"/>
  <sheetViews>
    <sheetView topLeftCell="A7" workbookViewId="0">
      <selection activeCell="F7" sqref="F7"/>
    </sheetView>
  </sheetViews>
  <sheetFormatPr defaultColWidth="14.453125" defaultRowHeight="15" customHeight="1" x14ac:dyDescent="0.35"/>
  <cols>
    <col min="1" max="1" width="2.81640625" customWidth="1"/>
    <col min="3" max="3" width="18.453125" customWidth="1"/>
    <col min="4" max="4" width="10" customWidth="1"/>
    <col min="5" max="5" width="14" customWidth="1"/>
    <col min="6" max="6" width="11" customWidth="1"/>
    <col min="7" max="7" width="9.81640625" customWidth="1"/>
    <col min="8" max="8" width="9.26953125" customWidth="1"/>
    <col min="9" max="9" width="9.453125" customWidth="1"/>
    <col min="10" max="10" width="9.7265625" customWidth="1"/>
    <col min="11" max="11" width="9.26953125" customWidth="1"/>
    <col min="12" max="12" width="10" customWidth="1"/>
    <col min="13" max="13" width="9.81640625" customWidth="1"/>
    <col min="14" max="14" width="9.453125" customWidth="1"/>
    <col min="15" max="17" width="9.26953125" customWidth="1"/>
    <col min="18" max="18" width="9.1796875" customWidth="1"/>
    <col min="19" max="19" width="9.453125" customWidth="1"/>
    <col min="20" max="20" width="10" customWidth="1"/>
    <col min="21" max="21" width="5.1796875" customWidth="1"/>
    <col min="22" max="22" width="10.26953125" customWidth="1"/>
    <col min="23" max="23" width="10.7265625" customWidth="1"/>
    <col min="24" max="24" width="15.81640625" customWidth="1"/>
  </cols>
  <sheetData>
    <row r="2" spans="2:24" ht="14.5" x14ac:dyDescent="0.35">
      <c r="F2" s="1"/>
    </row>
    <row r="3" spans="2:24" ht="34" thickBot="1" x14ac:dyDescent="0.8">
      <c r="B3" s="1035" t="s">
        <v>26</v>
      </c>
      <c r="C3" s="1031"/>
      <c r="D3" s="1031"/>
      <c r="E3" s="76"/>
      <c r="F3" s="4"/>
      <c r="G3" s="77" t="s">
        <v>27</v>
      </c>
      <c r="H3" s="78" t="s">
        <v>2</v>
      </c>
      <c r="I3" s="79" t="s">
        <v>3</v>
      </c>
      <c r="J3" s="80" t="s">
        <v>4</v>
      </c>
      <c r="K3" s="81" t="s">
        <v>5</v>
      </c>
      <c r="L3" s="82" t="s">
        <v>6</v>
      </c>
      <c r="M3" s="83" t="s">
        <v>7</v>
      </c>
      <c r="N3" s="84" t="s">
        <v>8</v>
      </c>
      <c r="O3" s="85" t="s">
        <v>9</v>
      </c>
      <c r="P3" s="86" t="s">
        <v>10</v>
      </c>
      <c r="Q3" s="87" t="s">
        <v>11</v>
      </c>
      <c r="R3" s="88" t="s">
        <v>12</v>
      </c>
      <c r="S3" s="89" t="s">
        <v>13</v>
      </c>
      <c r="T3" s="90" t="s">
        <v>14</v>
      </c>
      <c r="U3" s="3"/>
      <c r="V3" s="3"/>
      <c r="W3" s="3"/>
      <c r="X3" s="91"/>
    </row>
    <row r="4" spans="2:24" thickBot="1" x14ac:dyDescent="0.4">
      <c r="B4" s="1037" t="s">
        <v>15</v>
      </c>
      <c r="C4" s="1038"/>
      <c r="D4" s="94" t="s">
        <v>17</v>
      </c>
      <c r="E4" s="94" t="s">
        <v>18</v>
      </c>
      <c r="F4" s="95" t="s">
        <v>19</v>
      </c>
      <c r="G4" s="96">
        <v>2</v>
      </c>
      <c r="H4" s="97">
        <v>5</v>
      </c>
      <c r="I4" s="98">
        <v>7</v>
      </c>
      <c r="J4" s="99">
        <v>10</v>
      </c>
      <c r="K4" s="100">
        <v>11</v>
      </c>
      <c r="L4" s="101">
        <v>12</v>
      </c>
      <c r="M4" s="102">
        <v>13</v>
      </c>
      <c r="N4" s="103">
        <v>16</v>
      </c>
      <c r="O4" s="104">
        <v>27</v>
      </c>
      <c r="P4" s="105">
        <v>69</v>
      </c>
      <c r="Q4" s="106">
        <v>76</v>
      </c>
      <c r="R4" s="107">
        <v>77</v>
      </c>
      <c r="S4" s="108">
        <v>79</v>
      </c>
      <c r="T4" s="109">
        <v>81</v>
      </c>
      <c r="U4" s="108" t="s">
        <v>20</v>
      </c>
      <c r="V4" s="108" t="s">
        <v>21</v>
      </c>
      <c r="W4" s="108" t="s">
        <v>22</v>
      </c>
      <c r="X4" s="110" t="s">
        <v>28</v>
      </c>
    </row>
    <row r="5" spans="2:24" ht="17.25" customHeight="1" x14ac:dyDescent="0.35">
      <c r="B5" s="76"/>
      <c r="C5" s="76"/>
      <c r="D5" s="76"/>
      <c r="E5" s="76"/>
      <c r="F5" s="4"/>
      <c r="G5" s="3"/>
      <c r="H5" s="3"/>
      <c r="I5" s="3"/>
      <c r="J5" s="111"/>
      <c r="K5" s="3"/>
      <c r="L5" s="3"/>
      <c r="M5" s="3"/>
      <c r="N5" s="3"/>
      <c r="O5" s="3"/>
      <c r="P5" s="3"/>
      <c r="Q5" s="3"/>
      <c r="R5" s="3"/>
      <c r="S5" s="3"/>
      <c r="T5" s="112"/>
      <c r="U5" s="3"/>
      <c r="V5" s="3"/>
      <c r="W5" s="3"/>
      <c r="X5" s="91"/>
    </row>
    <row r="6" spans="2:24" ht="17.25" customHeight="1" x14ac:dyDescent="0.35">
      <c r="B6" s="1036" t="s">
        <v>983</v>
      </c>
      <c r="C6" s="1036"/>
      <c r="D6" s="876">
        <f>SUM(D7:D19)</f>
        <v>47</v>
      </c>
      <c r="E6" s="877" t="s">
        <v>984</v>
      </c>
      <c r="F6" s="879">
        <f>SUM(F7:F19)*0.95</f>
        <v>1590.0625</v>
      </c>
      <c r="G6" s="873"/>
      <c r="H6" s="116"/>
      <c r="I6" s="117"/>
      <c r="J6" s="118"/>
      <c r="K6" s="119"/>
      <c r="L6" s="120"/>
      <c r="M6" s="121"/>
      <c r="N6" s="122"/>
      <c r="O6" s="123"/>
      <c r="P6" s="124"/>
      <c r="Q6" s="125"/>
      <c r="R6" s="126"/>
      <c r="S6" s="127"/>
      <c r="T6" s="128"/>
      <c r="U6" s="129">
        <f t="shared" ref="U6" si="0">SUM(G6:T6)</f>
        <v>0</v>
      </c>
      <c r="V6" s="129">
        <f t="shared" ref="V6:V19" si="1">U6*D6</f>
        <v>0</v>
      </c>
      <c r="W6" s="129"/>
      <c r="X6" s="130">
        <f t="shared" ref="X6" si="2">U6*F6</f>
        <v>0</v>
      </c>
    </row>
    <row r="7" spans="2:24" ht="90" customHeight="1" x14ac:dyDescent="0.35">
      <c r="B7" s="870" t="s">
        <v>982</v>
      </c>
      <c r="C7" s="874"/>
      <c r="D7" s="870">
        <v>6</v>
      </c>
      <c r="E7" s="870" t="s">
        <v>29</v>
      </c>
      <c r="F7" s="883">
        <v>38.11</v>
      </c>
      <c r="G7" s="115"/>
      <c r="H7" s="116"/>
      <c r="I7" s="117"/>
      <c r="J7" s="118"/>
      <c r="K7" s="119"/>
      <c r="L7" s="120"/>
      <c r="M7" s="121"/>
      <c r="N7" s="122"/>
      <c r="O7" s="123"/>
      <c r="P7" s="124"/>
      <c r="Q7" s="125"/>
      <c r="R7" s="126"/>
      <c r="S7" s="127"/>
      <c r="T7" s="128"/>
      <c r="U7" s="129">
        <f t="shared" ref="U7:U19" si="3">SUM(G7:T7)</f>
        <v>0</v>
      </c>
      <c r="V7" s="129">
        <f t="shared" si="1"/>
        <v>0</v>
      </c>
      <c r="W7" s="129">
        <f>U7*0.2</f>
        <v>0</v>
      </c>
      <c r="X7" s="130">
        <f t="shared" ref="X7:X19" si="4">U7*F7</f>
        <v>0</v>
      </c>
    </row>
    <row r="8" spans="2:24" ht="93.75" customHeight="1" x14ac:dyDescent="0.35">
      <c r="B8" s="131" t="s">
        <v>30</v>
      </c>
      <c r="C8" s="114"/>
      <c r="D8" s="113">
        <v>4</v>
      </c>
      <c r="E8" s="113" t="s">
        <v>31</v>
      </c>
      <c r="F8" s="884">
        <v>37.08</v>
      </c>
      <c r="G8" s="115"/>
      <c r="H8" s="116"/>
      <c r="I8" s="117"/>
      <c r="J8" s="132"/>
      <c r="K8" s="119"/>
      <c r="L8" s="120"/>
      <c r="M8" s="121"/>
      <c r="N8" s="122"/>
      <c r="O8" s="123"/>
      <c r="P8" s="124"/>
      <c r="Q8" s="125"/>
      <c r="R8" s="126"/>
      <c r="S8" s="127"/>
      <c r="T8" s="128"/>
      <c r="U8" s="129">
        <f t="shared" si="3"/>
        <v>0</v>
      </c>
      <c r="V8" s="129">
        <f t="shared" si="1"/>
        <v>0</v>
      </c>
      <c r="W8" s="129">
        <f>U8*0.3</f>
        <v>0</v>
      </c>
      <c r="X8" s="130">
        <f t="shared" si="4"/>
        <v>0</v>
      </c>
    </row>
    <row r="9" spans="2:24" ht="99" customHeight="1" x14ac:dyDescent="0.35">
      <c r="B9" s="131" t="s">
        <v>32</v>
      </c>
      <c r="C9" s="114"/>
      <c r="D9" s="113">
        <v>7</v>
      </c>
      <c r="E9" s="113" t="s">
        <v>33</v>
      </c>
      <c r="F9" s="884">
        <v>154.5</v>
      </c>
      <c r="G9" s="115"/>
      <c r="H9" s="116"/>
      <c r="I9" s="117"/>
      <c r="J9" s="132"/>
      <c r="K9" s="119"/>
      <c r="L9" s="120"/>
      <c r="M9" s="121"/>
      <c r="N9" s="122"/>
      <c r="O9" s="123"/>
      <c r="P9" s="124"/>
      <c r="Q9" s="125"/>
      <c r="R9" s="126"/>
      <c r="S9" s="127"/>
      <c r="T9" s="128"/>
      <c r="U9" s="129">
        <f t="shared" si="3"/>
        <v>0</v>
      </c>
      <c r="V9" s="129">
        <f t="shared" si="1"/>
        <v>0</v>
      </c>
      <c r="W9" s="129">
        <f>U9*1.9</f>
        <v>0</v>
      </c>
      <c r="X9" s="130">
        <f t="shared" si="4"/>
        <v>0</v>
      </c>
    </row>
    <row r="10" spans="2:24" ht="94.5" customHeight="1" x14ac:dyDescent="0.35">
      <c r="B10" s="131" t="s">
        <v>34</v>
      </c>
      <c r="C10" s="113"/>
      <c r="D10" s="113">
        <v>6</v>
      </c>
      <c r="E10" s="113" t="s">
        <v>35</v>
      </c>
      <c r="F10" s="885">
        <v>136.99</v>
      </c>
      <c r="G10" s="115"/>
      <c r="H10" s="116"/>
      <c r="I10" s="117"/>
      <c r="J10" s="132"/>
      <c r="K10" s="119"/>
      <c r="L10" s="120"/>
      <c r="M10" s="121"/>
      <c r="N10" s="122"/>
      <c r="O10" s="123"/>
      <c r="P10" s="124"/>
      <c r="Q10" s="125"/>
      <c r="R10" s="126"/>
      <c r="S10" s="127"/>
      <c r="T10" s="128"/>
      <c r="U10" s="129">
        <f t="shared" si="3"/>
        <v>0</v>
      </c>
      <c r="V10" s="129">
        <f t="shared" si="1"/>
        <v>0</v>
      </c>
      <c r="W10" s="129">
        <f t="shared" ref="W10:W11" si="5">U10*2.2</f>
        <v>0</v>
      </c>
      <c r="X10" s="130">
        <f t="shared" si="4"/>
        <v>0</v>
      </c>
    </row>
    <row r="11" spans="2:24" ht="94.5" customHeight="1" x14ac:dyDescent="0.35">
      <c r="B11" s="131" t="s">
        <v>36</v>
      </c>
      <c r="C11" s="113"/>
      <c r="D11" s="113">
        <v>4</v>
      </c>
      <c r="E11" s="113" t="s">
        <v>37</v>
      </c>
      <c r="F11" s="885">
        <v>182.31</v>
      </c>
      <c r="G11" s="115"/>
      <c r="H11" s="116"/>
      <c r="I11" s="117"/>
      <c r="J11" s="132"/>
      <c r="K11" s="119"/>
      <c r="L11" s="120"/>
      <c r="M11" s="121"/>
      <c r="N11" s="122"/>
      <c r="O11" s="123"/>
      <c r="P11" s="124"/>
      <c r="Q11" s="125"/>
      <c r="R11" s="126"/>
      <c r="S11" s="127"/>
      <c r="T11" s="128"/>
      <c r="U11" s="129">
        <f t="shared" si="3"/>
        <v>0</v>
      </c>
      <c r="V11" s="129">
        <f t="shared" si="1"/>
        <v>0</v>
      </c>
      <c r="W11" s="129">
        <f t="shared" si="5"/>
        <v>0</v>
      </c>
      <c r="X11" s="130">
        <f t="shared" si="4"/>
        <v>0</v>
      </c>
    </row>
    <row r="12" spans="2:24" ht="88.5" customHeight="1" x14ac:dyDescent="0.35">
      <c r="B12" s="131" t="s">
        <v>38</v>
      </c>
      <c r="C12" s="114"/>
      <c r="D12" s="113">
        <v>3</v>
      </c>
      <c r="E12" s="113" t="s">
        <v>39</v>
      </c>
      <c r="F12" s="884">
        <v>136.99</v>
      </c>
      <c r="G12" s="115"/>
      <c r="H12" s="116"/>
      <c r="I12" s="117"/>
      <c r="J12" s="132"/>
      <c r="K12" s="119"/>
      <c r="L12" s="120"/>
      <c r="M12" s="121"/>
      <c r="N12" s="122"/>
      <c r="O12" s="123"/>
      <c r="P12" s="124"/>
      <c r="Q12" s="125"/>
      <c r="R12" s="126"/>
      <c r="S12" s="127"/>
      <c r="T12" s="128"/>
      <c r="U12" s="129">
        <f t="shared" si="3"/>
        <v>0</v>
      </c>
      <c r="V12" s="129">
        <f t="shared" si="1"/>
        <v>0</v>
      </c>
      <c r="W12" s="129">
        <f>U12*1.3</f>
        <v>0</v>
      </c>
      <c r="X12" s="130">
        <f t="shared" si="4"/>
        <v>0</v>
      </c>
    </row>
    <row r="13" spans="2:24" ht="88.5" customHeight="1" x14ac:dyDescent="0.35">
      <c r="B13" s="131" t="s">
        <v>40</v>
      </c>
      <c r="C13" s="114"/>
      <c r="D13" s="113">
        <v>4</v>
      </c>
      <c r="E13" s="113" t="s">
        <v>41</v>
      </c>
      <c r="F13" s="884">
        <v>167.89000000000001</v>
      </c>
      <c r="G13" s="115"/>
      <c r="H13" s="116"/>
      <c r="I13" s="117"/>
      <c r="J13" s="132"/>
      <c r="K13" s="119"/>
      <c r="L13" s="120"/>
      <c r="M13" s="121"/>
      <c r="N13" s="122"/>
      <c r="O13" s="123"/>
      <c r="P13" s="124"/>
      <c r="Q13" s="125"/>
      <c r="R13" s="126"/>
      <c r="S13" s="127"/>
      <c r="T13" s="128"/>
      <c r="U13" s="129">
        <f t="shared" si="3"/>
        <v>0</v>
      </c>
      <c r="V13" s="129">
        <f t="shared" si="1"/>
        <v>0</v>
      </c>
      <c r="W13" s="129">
        <f>U13*1.5</f>
        <v>0</v>
      </c>
      <c r="X13" s="130">
        <f t="shared" si="4"/>
        <v>0</v>
      </c>
    </row>
    <row r="14" spans="2:24" ht="88.5" customHeight="1" x14ac:dyDescent="0.35">
      <c r="B14" s="131" t="s">
        <v>42</v>
      </c>
      <c r="C14" s="114"/>
      <c r="D14" s="113">
        <v>4</v>
      </c>
      <c r="E14" s="113" t="s">
        <v>43</v>
      </c>
      <c r="F14" s="884">
        <v>177.16</v>
      </c>
      <c r="G14" s="115"/>
      <c r="H14" s="116"/>
      <c r="I14" s="117"/>
      <c r="J14" s="132"/>
      <c r="K14" s="119"/>
      <c r="L14" s="120"/>
      <c r="M14" s="121"/>
      <c r="N14" s="122"/>
      <c r="O14" s="123"/>
      <c r="P14" s="124"/>
      <c r="Q14" s="125"/>
      <c r="R14" s="126"/>
      <c r="S14" s="127"/>
      <c r="T14" s="128"/>
      <c r="U14" s="129">
        <f t="shared" si="3"/>
        <v>0</v>
      </c>
      <c r="V14" s="129">
        <f t="shared" si="1"/>
        <v>0</v>
      </c>
      <c r="W14" s="129">
        <f>U14*1.7</f>
        <v>0</v>
      </c>
      <c r="X14" s="130">
        <f t="shared" si="4"/>
        <v>0</v>
      </c>
    </row>
    <row r="15" spans="2:24" ht="88.5" customHeight="1" x14ac:dyDescent="0.35">
      <c r="B15" s="131" t="s">
        <v>44</v>
      </c>
      <c r="C15" s="114"/>
      <c r="D15" s="113">
        <v>2</v>
      </c>
      <c r="E15" s="113" t="s">
        <v>45</v>
      </c>
      <c r="F15" s="884">
        <v>94.76</v>
      </c>
      <c r="G15" s="115"/>
      <c r="H15" s="116"/>
      <c r="I15" s="117"/>
      <c r="J15" s="132"/>
      <c r="K15" s="119"/>
      <c r="L15" s="120"/>
      <c r="M15" s="121"/>
      <c r="N15" s="122"/>
      <c r="O15" s="123"/>
      <c r="P15" s="124"/>
      <c r="Q15" s="125"/>
      <c r="R15" s="126"/>
      <c r="S15" s="127"/>
      <c r="T15" s="128"/>
      <c r="U15" s="129">
        <f t="shared" si="3"/>
        <v>0</v>
      </c>
      <c r="V15" s="129">
        <f t="shared" si="1"/>
        <v>0</v>
      </c>
      <c r="W15" s="129">
        <f>U15*0.9</f>
        <v>0</v>
      </c>
      <c r="X15" s="130">
        <f t="shared" si="4"/>
        <v>0</v>
      </c>
    </row>
    <row r="16" spans="2:24" ht="88.5" customHeight="1" x14ac:dyDescent="0.35">
      <c r="B16" s="131" t="s">
        <v>46</v>
      </c>
      <c r="C16" s="114"/>
      <c r="D16" s="113">
        <v>2</v>
      </c>
      <c r="E16" s="113" t="s">
        <v>47</v>
      </c>
      <c r="F16" s="884">
        <v>40.17</v>
      </c>
      <c r="G16" s="115"/>
      <c r="H16" s="116"/>
      <c r="I16" s="117"/>
      <c r="J16" s="132"/>
      <c r="K16" s="119"/>
      <c r="L16" s="120"/>
      <c r="M16" s="121"/>
      <c r="N16" s="122"/>
      <c r="O16" s="123"/>
      <c r="P16" s="124"/>
      <c r="Q16" s="125"/>
      <c r="R16" s="126"/>
      <c r="S16" s="127"/>
      <c r="T16" s="128"/>
      <c r="U16" s="129">
        <f t="shared" si="3"/>
        <v>0</v>
      </c>
      <c r="V16" s="129">
        <f t="shared" si="1"/>
        <v>0</v>
      </c>
      <c r="W16" s="129">
        <f>U16*0.5</f>
        <v>0</v>
      </c>
      <c r="X16" s="130">
        <f t="shared" si="4"/>
        <v>0</v>
      </c>
    </row>
    <row r="17" spans="2:24" ht="102" customHeight="1" x14ac:dyDescent="0.35">
      <c r="B17" s="131" t="s">
        <v>48</v>
      </c>
      <c r="C17" s="113"/>
      <c r="D17" s="113">
        <v>2</v>
      </c>
      <c r="E17" s="113" t="s">
        <v>49</v>
      </c>
      <c r="F17" s="885">
        <v>103</v>
      </c>
      <c r="G17" s="115"/>
      <c r="H17" s="116"/>
      <c r="I17" s="117"/>
      <c r="J17" s="132"/>
      <c r="K17" s="119"/>
      <c r="L17" s="120"/>
      <c r="M17" s="121"/>
      <c r="N17" s="122"/>
      <c r="O17" s="123"/>
      <c r="P17" s="124"/>
      <c r="Q17" s="125"/>
      <c r="R17" s="126"/>
      <c r="S17" s="127"/>
      <c r="T17" s="128"/>
      <c r="U17" s="129">
        <f t="shared" si="3"/>
        <v>0</v>
      </c>
      <c r="V17" s="129">
        <f t="shared" si="1"/>
        <v>0</v>
      </c>
      <c r="W17" s="129">
        <f>U17*1</f>
        <v>0</v>
      </c>
      <c r="X17" s="130">
        <f t="shared" si="4"/>
        <v>0</v>
      </c>
    </row>
    <row r="18" spans="2:24" ht="100.5" customHeight="1" x14ac:dyDescent="0.35">
      <c r="B18" s="131" t="s">
        <v>50</v>
      </c>
      <c r="C18" s="113"/>
      <c r="D18" s="113">
        <v>2</v>
      </c>
      <c r="E18" s="113" t="s">
        <v>51</v>
      </c>
      <c r="F18" s="885">
        <v>198.79</v>
      </c>
      <c r="G18" s="115"/>
      <c r="H18" s="116"/>
      <c r="I18" s="117"/>
      <c r="J18" s="132"/>
      <c r="K18" s="119"/>
      <c r="L18" s="120"/>
      <c r="M18" s="121"/>
      <c r="N18" s="122"/>
      <c r="O18" s="123"/>
      <c r="P18" s="124"/>
      <c r="Q18" s="125"/>
      <c r="R18" s="126"/>
      <c r="S18" s="127"/>
      <c r="T18" s="128"/>
      <c r="U18" s="129">
        <f t="shared" si="3"/>
        <v>0</v>
      </c>
      <c r="V18" s="129">
        <f t="shared" si="1"/>
        <v>0</v>
      </c>
      <c r="W18" s="129">
        <f>U18*2.4</f>
        <v>0</v>
      </c>
      <c r="X18" s="130">
        <f t="shared" si="4"/>
        <v>0</v>
      </c>
    </row>
    <row r="19" spans="2:24" ht="105.75" customHeight="1" x14ac:dyDescent="0.35">
      <c r="B19" s="131" t="s">
        <v>52</v>
      </c>
      <c r="C19" s="113"/>
      <c r="D19" s="113">
        <v>1</v>
      </c>
      <c r="E19" s="113" t="s">
        <v>53</v>
      </c>
      <c r="F19" s="885">
        <v>206</v>
      </c>
      <c r="G19" s="115"/>
      <c r="H19" s="116"/>
      <c r="I19" s="117"/>
      <c r="J19" s="132"/>
      <c r="K19" s="119"/>
      <c r="L19" s="120"/>
      <c r="M19" s="121"/>
      <c r="N19" s="122"/>
      <c r="O19" s="123"/>
      <c r="P19" s="124"/>
      <c r="Q19" s="125"/>
      <c r="R19" s="126"/>
      <c r="S19" s="127"/>
      <c r="T19" s="128"/>
      <c r="U19" s="129">
        <f t="shared" si="3"/>
        <v>0</v>
      </c>
      <c r="V19" s="129">
        <f t="shared" si="1"/>
        <v>0</v>
      </c>
      <c r="W19" s="129">
        <f>U19*2.7</f>
        <v>0</v>
      </c>
      <c r="X19" s="130">
        <f t="shared" si="4"/>
        <v>0</v>
      </c>
    </row>
    <row r="20" spans="2:24" ht="14.5" x14ac:dyDescent="0.35">
      <c r="F20" s="4" t="s">
        <v>20</v>
      </c>
      <c r="G20" s="133">
        <f>SUM(G6:G19)</f>
        <v>0</v>
      </c>
      <c r="H20" s="133">
        <f t="shared" ref="H20:T20" si="6">SUM(H6:H19)</f>
        <v>0</v>
      </c>
      <c r="I20" s="133">
        <f t="shared" si="6"/>
        <v>0</v>
      </c>
      <c r="J20" s="133">
        <f t="shared" si="6"/>
        <v>0</v>
      </c>
      <c r="K20" s="133">
        <f t="shared" si="6"/>
        <v>0</v>
      </c>
      <c r="L20" s="133">
        <f t="shared" si="6"/>
        <v>0</v>
      </c>
      <c r="M20" s="133">
        <f t="shared" si="6"/>
        <v>0</v>
      </c>
      <c r="N20" s="133">
        <f t="shared" si="6"/>
        <v>0</v>
      </c>
      <c r="O20" s="133">
        <f t="shared" si="6"/>
        <v>0</v>
      </c>
      <c r="P20" s="133">
        <f t="shared" si="6"/>
        <v>0</v>
      </c>
      <c r="Q20" s="133">
        <f t="shared" si="6"/>
        <v>0</v>
      </c>
      <c r="R20" s="133">
        <f t="shared" si="6"/>
        <v>0</v>
      </c>
      <c r="S20" s="133">
        <f t="shared" si="6"/>
        <v>0</v>
      </c>
      <c r="T20" s="133">
        <f t="shared" si="6"/>
        <v>0</v>
      </c>
      <c r="U20" s="133">
        <f>SUM(U6:U19)</f>
        <v>0</v>
      </c>
      <c r="V20" s="133">
        <f t="shared" ref="V20:W20" si="7">SUM(V6:V19)</f>
        <v>0</v>
      </c>
      <c r="W20" s="133">
        <f t="shared" si="7"/>
        <v>0</v>
      </c>
      <c r="X20" s="134">
        <f>SUM(X6:X19)</f>
        <v>0</v>
      </c>
    </row>
    <row r="22" spans="2:24" ht="15.75" customHeight="1" x14ac:dyDescent="0.35"/>
    <row r="23" spans="2:24" ht="15.75" customHeight="1" x14ac:dyDescent="0.35"/>
    <row r="24" spans="2:24" ht="15.75" customHeight="1" x14ac:dyDescent="0.35"/>
    <row r="25" spans="2:24" ht="15.75" customHeight="1" x14ac:dyDescent="0.35"/>
    <row r="26" spans="2:24" ht="15.75" customHeight="1" x14ac:dyDescent="0.35"/>
    <row r="27" spans="2:24" ht="15.75" customHeight="1" x14ac:dyDescent="0.35"/>
    <row r="28" spans="2:24" ht="15.75" customHeight="1" x14ac:dyDescent="0.35"/>
    <row r="29" spans="2:24" ht="15.75" customHeight="1" x14ac:dyDescent="0.35"/>
    <row r="30" spans="2:24" ht="15.75" customHeight="1" x14ac:dyDescent="0.35"/>
    <row r="31" spans="2:24" ht="15.75" customHeight="1" x14ac:dyDescent="0.35"/>
    <row r="32" spans="2:24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3">
    <mergeCell ref="B3:D3"/>
    <mergeCell ref="B6:C6"/>
    <mergeCell ref="B4:C4"/>
  </mergeCell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1008"/>
  <sheetViews>
    <sheetView workbookViewId="0">
      <pane ySplit="3" topLeftCell="A5" activePane="bottomLeft" state="frozen"/>
      <selection pane="bottomLeft" activeCell="D5" sqref="D5"/>
    </sheetView>
  </sheetViews>
  <sheetFormatPr defaultColWidth="14.453125" defaultRowHeight="15" customHeight="1" x14ac:dyDescent="0.35"/>
  <cols>
    <col min="1" max="1" width="3.26953125" customWidth="1"/>
    <col min="2" max="2" width="13.453125" customWidth="1"/>
    <col min="3" max="3" width="19.453125" customWidth="1"/>
    <col min="4" max="4" width="8.26953125" customWidth="1"/>
    <col min="5" max="5" width="12.81640625" customWidth="1"/>
    <col min="6" max="6" width="10.26953125" style="869" customWidth="1"/>
    <col min="7" max="11" width="9.1796875" customWidth="1"/>
    <col min="12" max="13" width="9.453125" customWidth="1"/>
    <col min="14" max="16" width="9.1796875" customWidth="1"/>
    <col min="17" max="18" width="8.81640625" customWidth="1"/>
    <col min="19" max="19" width="9.1796875" customWidth="1"/>
    <col min="20" max="20" width="9.81640625" customWidth="1"/>
    <col min="21" max="21" width="5.1796875" customWidth="1"/>
    <col min="22" max="22" width="7" customWidth="1"/>
    <col min="23" max="23" width="8.1796875" customWidth="1"/>
    <col min="24" max="24" width="11.453125" customWidth="1"/>
  </cols>
  <sheetData>
    <row r="1" spans="2:25" ht="14.5" x14ac:dyDescent="0.35">
      <c r="B1" s="1039" t="s">
        <v>54</v>
      </c>
      <c r="C1" s="1040"/>
      <c r="D1" s="1040"/>
      <c r="E1" s="1040"/>
      <c r="F1" s="1040"/>
    </row>
    <row r="2" spans="2:25" ht="14.5" x14ac:dyDescent="0.35">
      <c r="B2" s="1041"/>
      <c r="C2" s="1042"/>
      <c r="D2" s="1042"/>
      <c r="E2" s="1042"/>
      <c r="F2" s="1042"/>
      <c r="G2" s="77" t="s">
        <v>27</v>
      </c>
      <c r="H2" s="78" t="s">
        <v>2</v>
      </c>
      <c r="I2" s="135" t="s">
        <v>3</v>
      </c>
      <c r="J2" s="80" t="s">
        <v>4</v>
      </c>
      <c r="K2" s="136" t="s">
        <v>5</v>
      </c>
      <c r="L2" s="82" t="s">
        <v>6</v>
      </c>
      <c r="M2" s="83" t="s">
        <v>7</v>
      </c>
      <c r="N2" s="84" t="s">
        <v>8</v>
      </c>
      <c r="O2" s="85" t="s">
        <v>9</v>
      </c>
      <c r="P2" s="86" t="s">
        <v>10</v>
      </c>
      <c r="Q2" s="87" t="s">
        <v>11</v>
      </c>
      <c r="R2" s="88" t="s">
        <v>12</v>
      </c>
      <c r="S2" s="89" t="s">
        <v>13</v>
      </c>
      <c r="T2" s="90" t="s">
        <v>14</v>
      </c>
      <c r="U2" s="3"/>
      <c r="V2" s="3"/>
      <c r="W2" s="3"/>
      <c r="X2" s="91"/>
      <c r="Y2" s="91"/>
    </row>
    <row r="3" spans="2:25" ht="14.5" x14ac:dyDescent="0.35">
      <c r="B3" s="92" t="s">
        <v>15</v>
      </c>
      <c r="C3" s="93"/>
      <c r="D3" s="94" t="s">
        <v>17</v>
      </c>
      <c r="E3" s="94" t="s">
        <v>18</v>
      </c>
      <c r="F3" s="865" t="s">
        <v>19</v>
      </c>
      <c r="G3" s="96">
        <v>2</v>
      </c>
      <c r="H3" s="97">
        <v>5</v>
      </c>
      <c r="I3" s="137">
        <v>7</v>
      </c>
      <c r="J3" s="99">
        <v>10</v>
      </c>
      <c r="K3" s="138">
        <v>11</v>
      </c>
      <c r="L3" s="101">
        <v>12</v>
      </c>
      <c r="M3" s="102">
        <v>13</v>
      </c>
      <c r="N3" s="103">
        <v>16</v>
      </c>
      <c r="O3" s="104">
        <v>27</v>
      </c>
      <c r="P3" s="105">
        <v>69</v>
      </c>
      <c r="Q3" s="106">
        <v>76</v>
      </c>
      <c r="R3" s="107">
        <v>77</v>
      </c>
      <c r="S3" s="108">
        <v>79</v>
      </c>
      <c r="T3" s="109">
        <v>81</v>
      </c>
      <c r="U3" s="108" t="s">
        <v>20</v>
      </c>
      <c r="V3" s="108" t="s">
        <v>21</v>
      </c>
      <c r="W3" s="108" t="s">
        <v>22</v>
      </c>
      <c r="X3" s="110" t="s">
        <v>28</v>
      </c>
      <c r="Y3" s="91"/>
    </row>
    <row r="4" spans="2:25" ht="51" customHeight="1" x14ac:dyDescent="0.6">
      <c r="B4" s="1043" t="s">
        <v>55</v>
      </c>
      <c r="C4" s="1031"/>
      <c r="D4" s="1031"/>
      <c r="E4" s="1031"/>
      <c r="F4" s="1031"/>
      <c r="G4" s="3"/>
      <c r="H4" s="3"/>
      <c r="I4" s="3"/>
      <c r="J4" s="112"/>
      <c r="K4" s="3"/>
      <c r="L4" s="3"/>
      <c r="M4" s="3"/>
      <c r="N4" s="3"/>
      <c r="O4" s="3"/>
      <c r="P4" s="3"/>
      <c r="Q4" s="3"/>
      <c r="R4" s="3"/>
      <c r="S4" s="3"/>
      <c r="T4" s="112"/>
      <c r="U4" s="3"/>
      <c r="V4" s="3"/>
      <c r="W4" s="3"/>
      <c r="X4" s="91"/>
      <c r="Y4" s="91"/>
    </row>
    <row r="5" spans="2:25" ht="27.75" customHeight="1" x14ac:dyDescent="0.35">
      <c r="B5" s="1036" t="s">
        <v>985</v>
      </c>
      <c r="C5" s="1036"/>
      <c r="D5" s="876">
        <f>SUM(D6:D18)</f>
        <v>105</v>
      </c>
      <c r="E5" s="882" t="s">
        <v>984</v>
      </c>
      <c r="F5" s="880">
        <f>SUM(F6:F18)*0.95</f>
        <v>1282.8894999999998</v>
      </c>
      <c r="G5" s="873"/>
      <c r="H5" s="116"/>
      <c r="I5" s="139"/>
      <c r="J5" s="132"/>
      <c r="K5" s="140"/>
      <c r="L5" s="120"/>
      <c r="M5" s="121"/>
      <c r="N5" s="122"/>
      <c r="O5" s="123"/>
      <c r="P5" s="124"/>
      <c r="Q5" s="125"/>
      <c r="R5" s="126"/>
      <c r="S5" s="127"/>
      <c r="T5" s="141"/>
      <c r="U5" s="129">
        <f t="shared" ref="U5" si="0">SUM(G5:T5)</f>
        <v>0</v>
      </c>
      <c r="V5" s="129">
        <f t="shared" ref="V5:V14" si="1">U5*D5</f>
        <v>0</v>
      </c>
      <c r="W5" s="881" t="s">
        <v>986</v>
      </c>
      <c r="X5" s="130">
        <f t="shared" ref="X5" si="2">U5*F5</f>
        <v>0</v>
      </c>
      <c r="Y5" s="871"/>
    </row>
    <row r="6" spans="2:25" ht="109.5" customHeight="1" x14ac:dyDescent="0.35">
      <c r="B6" s="131" t="s">
        <v>56</v>
      </c>
      <c r="C6" s="113"/>
      <c r="D6" s="113">
        <v>10</v>
      </c>
      <c r="E6" s="113" t="s">
        <v>57</v>
      </c>
      <c r="F6" s="883">
        <v>72.100000000000009</v>
      </c>
      <c r="G6" s="115"/>
      <c r="H6" s="116"/>
      <c r="I6" s="139"/>
      <c r="J6" s="132"/>
      <c r="K6" s="140"/>
      <c r="L6" s="120"/>
      <c r="M6" s="121"/>
      <c r="N6" s="122"/>
      <c r="O6" s="123"/>
      <c r="P6" s="124"/>
      <c r="Q6" s="125"/>
      <c r="R6" s="126"/>
      <c r="S6" s="127"/>
      <c r="T6" s="141"/>
      <c r="U6" s="129">
        <f t="shared" ref="U6:U7" si="3">SUM(G6:T6)</f>
        <v>0</v>
      </c>
      <c r="V6" s="129">
        <f t="shared" si="1"/>
        <v>0</v>
      </c>
      <c r="W6" s="129">
        <f>U6*0.9</f>
        <v>0</v>
      </c>
      <c r="X6" s="130">
        <f t="shared" ref="X6:X14" si="4">U6*F6</f>
        <v>0</v>
      </c>
      <c r="Y6" s="91"/>
    </row>
    <row r="7" spans="2:25" ht="109.5" customHeight="1" x14ac:dyDescent="0.35">
      <c r="B7" s="131" t="s">
        <v>58</v>
      </c>
      <c r="C7" s="114"/>
      <c r="D7" s="113">
        <v>10</v>
      </c>
      <c r="E7" s="113" t="s">
        <v>59</v>
      </c>
      <c r="F7" s="884">
        <v>52.53</v>
      </c>
      <c r="G7" s="115"/>
      <c r="H7" s="116"/>
      <c r="I7" s="139"/>
      <c r="J7" s="132"/>
      <c r="K7" s="140"/>
      <c r="L7" s="120"/>
      <c r="M7" s="121"/>
      <c r="N7" s="122"/>
      <c r="O7" s="123"/>
      <c r="P7" s="124"/>
      <c r="Q7" s="125"/>
      <c r="R7" s="126"/>
      <c r="S7" s="127"/>
      <c r="T7" s="128"/>
      <c r="U7" s="129">
        <f t="shared" si="3"/>
        <v>0</v>
      </c>
      <c r="V7" s="129">
        <f t="shared" si="1"/>
        <v>0</v>
      </c>
      <c r="W7" s="129">
        <f t="shared" ref="W7:W8" si="5">U7*0.2</f>
        <v>0</v>
      </c>
      <c r="X7" s="130">
        <f t="shared" si="4"/>
        <v>0</v>
      </c>
      <c r="Y7" s="91"/>
    </row>
    <row r="8" spans="2:25" ht="109.5" customHeight="1" x14ac:dyDescent="0.35">
      <c r="B8" s="131" t="s">
        <v>60</v>
      </c>
      <c r="C8" s="114"/>
      <c r="D8" s="113">
        <v>18</v>
      </c>
      <c r="E8" s="113" t="s">
        <v>61</v>
      </c>
      <c r="F8" s="884">
        <v>91.67</v>
      </c>
      <c r="G8" s="115"/>
      <c r="H8" s="116"/>
      <c r="I8" s="139"/>
      <c r="J8" s="132"/>
      <c r="K8" s="140"/>
      <c r="L8" s="120"/>
      <c r="M8" s="121"/>
      <c r="N8" s="122"/>
      <c r="O8" s="123"/>
      <c r="P8" s="124"/>
      <c r="Q8" s="125"/>
      <c r="R8" s="126"/>
      <c r="S8" s="127"/>
      <c r="T8" s="128"/>
      <c r="U8" s="129">
        <f>SUM(G8:T8)</f>
        <v>0</v>
      </c>
      <c r="V8" s="129">
        <f t="shared" si="1"/>
        <v>0</v>
      </c>
      <c r="W8" s="129">
        <f t="shared" si="5"/>
        <v>0</v>
      </c>
      <c r="X8" s="130">
        <f t="shared" si="4"/>
        <v>0</v>
      </c>
      <c r="Y8" s="91"/>
    </row>
    <row r="9" spans="2:25" ht="109.5" customHeight="1" x14ac:dyDescent="0.35">
      <c r="B9" s="131" t="s">
        <v>62</v>
      </c>
      <c r="C9" s="114"/>
      <c r="D9" s="113">
        <v>10</v>
      </c>
      <c r="E9" s="113" t="s">
        <v>63</v>
      </c>
      <c r="F9" s="884">
        <v>93.73</v>
      </c>
      <c r="G9" s="115"/>
      <c r="H9" s="116"/>
      <c r="I9" s="139"/>
      <c r="J9" s="132"/>
      <c r="K9" s="140"/>
      <c r="L9" s="120"/>
      <c r="M9" s="121"/>
      <c r="N9" s="122"/>
      <c r="O9" s="123"/>
      <c r="P9" s="124"/>
      <c r="Q9" s="125"/>
      <c r="R9" s="126"/>
      <c r="S9" s="127"/>
      <c r="T9" s="128"/>
      <c r="U9" s="129">
        <f t="shared" ref="U9:U18" si="6">SUM(G9:T9)</f>
        <v>0</v>
      </c>
      <c r="V9" s="129">
        <f t="shared" si="1"/>
        <v>0</v>
      </c>
      <c r="W9" s="129">
        <f>U9*0.9</f>
        <v>0</v>
      </c>
      <c r="X9" s="130">
        <f t="shared" si="4"/>
        <v>0</v>
      </c>
      <c r="Y9" s="91"/>
    </row>
    <row r="10" spans="2:25" ht="109.5" customHeight="1" x14ac:dyDescent="0.35">
      <c r="B10" s="131" t="s">
        <v>64</v>
      </c>
      <c r="C10" s="114"/>
      <c r="D10" s="113">
        <v>6</v>
      </c>
      <c r="E10" s="113" t="s">
        <v>65</v>
      </c>
      <c r="F10" s="884">
        <v>60.77</v>
      </c>
      <c r="G10" s="115"/>
      <c r="H10" s="116"/>
      <c r="I10" s="139"/>
      <c r="J10" s="132"/>
      <c r="K10" s="140"/>
      <c r="L10" s="120"/>
      <c r="M10" s="121"/>
      <c r="N10" s="122"/>
      <c r="O10" s="123"/>
      <c r="P10" s="124"/>
      <c r="Q10" s="125"/>
      <c r="R10" s="126"/>
      <c r="S10" s="127"/>
      <c r="T10" s="128"/>
      <c r="U10" s="129">
        <f t="shared" si="6"/>
        <v>0</v>
      </c>
      <c r="V10" s="129">
        <f t="shared" si="1"/>
        <v>0</v>
      </c>
      <c r="W10" s="129">
        <f>U10*0.6</f>
        <v>0</v>
      </c>
      <c r="X10" s="130">
        <f t="shared" si="4"/>
        <v>0</v>
      </c>
      <c r="Y10" s="91"/>
    </row>
    <row r="11" spans="2:25" ht="109.5" customHeight="1" x14ac:dyDescent="0.35">
      <c r="B11" s="131" t="s">
        <v>66</v>
      </c>
      <c r="C11" s="114"/>
      <c r="D11" s="113">
        <v>10</v>
      </c>
      <c r="E11" s="113" t="s">
        <v>67</v>
      </c>
      <c r="F11" s="884">
        <v>91.67</v>
      </c>
      <c r="G11" s="115"/>
      <c r="H11" s="116"/>
      <c r="I11" s="139"/>
      <c r="J11" s="132"/>
      <c r="K11" s="140"/>
      <c r="L11" s="120"/>
      <c r="M11" s="121"/>
      <c r="N11" s="122"/>
      <c r="O11" s="123"/>
      <c r="P11" s="124"/>
      <c r="Q11" s="125"/>
      <c r="R11" s="126"/>
      <c r="S11" s="127"/>
      <c r="T11" s="128"/>
      <c r="U11" s="129">
        <f t="shared" si="6"/>
        <v>0</v>
      </c>
      <c r="V11" s="129">
        <f t="shared" si="1"/>
        <v>0</v>
      </c>
      <c r="W11" s="129">
        <f>U11*0.56</f>
        <v>0</v>
      </c>
      <c r="X11" s="130">
        <f t="shared" si="4"/>
        <v>0</v>
      </c>
      <c r="Y11" s="91"/>
    </row>
    <row r="12" spans="2:25" ht="109.5" customHeight="1" x14ac:dyDescent="0.35">
      <c r="B12" s="131" t="s">
        <v>68</v>
      </c>
      <c r="C12" s="114"/>
      <c r="D12" s="113">
        <v>10</v>
      </c>
      <c r="E12" s="113" t="s">
        <v>69</v>
      </c>
      <c r="F12" s="884">
        <v>61.800000000000004</v>
      </c>
      <c r="G12" s="115"/>
      <c r="H12" s="116"/>
      <c r="I12" s="139"/>
      <c r="J12" s="132"/>
      <c r="K12" s="140"/>
      <c r="L12" s="120"/>
      <c r="M12" s="121"/>
      <c r="N12" s="122"/>
      <c r="O12" s="123"/>
      <c r="P12" s="124"/>
      <c r="Q12" s="125"/>
      <c r="R12" s="126"/>
      <c r="S12" s="127"/>
      <c r="T12" s="128"/>
      <c r="U12" s="129">
        <f t="shared" si="6"/>
        <v>0</v>
      </c>
      <c r="V12" s="129">
        <f t="shared" si="1"/>
        <v>0</v>
      </c>
      <c r="W12" s="129">
        <f>U12*0.35</f>
        <v>0</v>
      </c>
      <c r="X12" s="130">
        <f t="shared" si="4"/>
        <v>0</v>
      </c>
      <c r="Y12" s="91"/>
    </row>
    <row r="13" spans="2:25" ht="109.5" customHeight="1" x14ac:dyDescent="0.35">
      <c r="B13" s="131" t="s">
        <v>70</v>
      </c>
      <c r="C13" s="114"/>
      <c r="D13" s="113">
        <v>10</v>
      </c>
      <c r="E13" s="113" t="s">
        <v>71</v>
      </c>
      <c r="F13" s="884">
        <v>120.51</v>
      </c>
      <c r="G13" s="115"/>
      <c r="H13" s="116"/>
      <c r="I13" s="139"/>
      <c r="J13" s="132"/>
      <c r="K13" s="140"/>
      <c r="L13" s="120"/>
      <c r="M13" s="121"/>
      <c r="N13" s="122"/>
      <c r="O13" s="123"/>
      <c r="P13" s="124"/>
      <c r="Q13" s="125"/>
      <c r="R13" s="126"/>
      <c r="S13" s="127"/>
      <c r="T13" s="128"/>
      <c r="U13" s="129">
        <f t="shared" si="6"/>
        <v>0</v>
      </c>
      <c r="V13" s="129">
        <f t="shared" si="1"/>
        <v>0</v>
      </c>
      <c r="W13" s="129">
        <f>U13*1.4</f>
        <v>0</v>
      </c>
      <c r="X13" s="130">
        <f t="shared" si="4"/>
        <v>0</v>
      </c>
      <c r="Y13" s="91"/>
    </row>
    <row r="14" spans="2:25" ht="109.5" customHeight="1" x14ac:dyDescent="0.35">
      <c r="B14" s="131" t="s">
        <v>72</v>
      </c>
      <c r="C14" s="114"/>
      <c r="D14" s="113">
        <v>10</v>
      </c>
      <c r="E14" s="113" t="s">
        <v>73</v>
      </c>
      <c r="F14" s="884">
        <v>165.83</v>
      </c>
      <c r="G14" s="115"/>
      <c r="H14" s="116"/>
      <c r="I14" s="139"/>
      <c r="J14" s="132"/>
      <c r="K14" s="140"/>
      <c r="L14" s="120"/>
      <c r="M14" s="121"/>
      <c r="N14" s="122"/>
      <c r="O14" s="123"/>
      <c r="P14" s="124"/>
      <c r="Q14" s="125"/>
      <c r="R14" s="126"/>
      <c r="S14" s="127"/>
      <c r="T14" s="128"/>
      <c r="U14" s="129">
        <f t="shared" si="6"/>
        <v>0</v>
      </c>
      <c r="V14" s="129">
        <f t="shared" si="1"/>
        <v>0</v>
      </c>
      <c r="W14" s="129">
        <f>U14*2.2</f>
        <v>0</v>
      </c>
      <c r="X14" s="130">
        <f t="shared" si="4"/>
        <v>0</v>
      </c>
      <c r="Y14" s="91"/>
    </row>
    <row r="15" spans="2:25" ht="109.5" customHeight="1" x14ac:dyDescent="0.35">
      <c r="B15" s="142" t="s">
        <v>74</v>
      </c>
      <c r="C15" s="143"/>
      <c r="D15" s="144">
        <v>5</v>
      </c>
      <c r="E15" s="144" t="s">
        <v>75</v>
      </c>
      <c r="F15" s="886">
        <v>210.12</v>
      </c>
      <c r="G15" s="146"/>
      <c r="H15" s="147"/>
      <c r="I15" s="148"/>
      <c r="J15" s="149"/>
      <c r="K15" s="150"/>
      <c r="L15" s="151"/>
      <c r="M15" s="152"/>
      <c r="N15" s="153"/>
      <c r="O15" s="154"/>
      <c r="P15" s="155"/>
      <c r="Q15" s="156"/>
      <c r="R15" s="157"/>
      <c r="S15" s="158"/>
      <c r="T15" s="159"/>
      <c r="U15" s="160">
        <f t="shared" si="6"/>
        <v>0</v>
      </c>
      <c r="V15" s="160">
        <f>D15*U15</f>
        <v>0</v>
      </c>
      <c r="W15" s="160">
        <f>U15*1.9</f>
        <v>0</v>
      </c>
      <c r="X15" s="161">
        <f t="shared" ref="X15:X18" si="7">F15*U15</f>
        <v>0</v>
      </c>
      <c r="Y15" s="91"/>
    </row>
    <row r="16" spans="2:25" ht="109.5" customHeight="1" x14ac:dyDescent="0.35">
      <c r="B16" s="953" t="s">
        <v>74</v>
      </c>
      <c r="C16" s="143"/>
      <c r="D16" s="870">
        <v>2</v>
      </c>
      <c r="E16" s="870" t="s">
        <v>1009</v>
      </c>
      <c r="F16" s="883">
        <v>66</v>
      </c>
      <c r="G16" s="1016"/>
      <c r="H16" s="1017"/>
      <c r="I16" s="1018"/>
      <c r="J16" s="1019"/>
      <c r="K16" s="1020"/>
      <c r="L16" s="1021"/>
      <c r="M16" s="1022"/>
      <c r="N16" s="1023"/>
      <c r="O16" s="1024"/>
      <c r="P16" s="1025"/>
      <c r="Q16" s="1026"/>
      <c r="R16" s="1027"/>
      <c r="S16" s="1028"/>
      <c r="T16" s="1029"/>
      <c r="U16" s="160">
        <f t="shared" ref="U16" si="8">SUM(G16:T16)</f>
        <v>0</v>
      </c>
      <c r="V16" s="160">
        <f>D16*U16</f>
        <v>0</v>
      </c>
      <c r="W16" s="160">
        <f>U16*1.9</f>
        <v>0</v>
      </c>
      <c r="X16" s="161">
        <f t="shared" ref="X16" si="9">F16*U16</f>
        <v>0</v>
      </c>
      <c r="Y16" s="871"/>
    </row>
    <row r="17" spans="2:25" ht="109.5" customHeight="1" x14ac:dyDescent="0.35">
      <c r="B17" s="142" t="s">
        <v>76</v>
      </c>
      <c r="C17" s="143"/>
      <c r="D17" s="144">
        <v>2</v>
      </c>
      <c r="E17" s="144" t="s">
        <v>77</v>
      </c>
      <c r="F17" s="886">
        <v>132.87</v>
      </c>
      <c r="G17" s="146"/>
      <c r="H17" s="147"/>
      <c r="I17" s="148"/>
      <c r="J17" s="149"/>
      <c r="K17" s="150"/>
      <c r="L17" s="151"/>
      <c r="M17" s="152"/>
      <c r="N17" s="153"/>
      <c r="O17" s="154"/>
      <c r="P17" s="155"/>
      <c r="Q17" s="156"/>
      <c r="R17" s="157"/>
      <c r="S17" s="158"/>
      <c r="T17" s="159"/>
      <c r="U17" s="160">
        <f t="shared" si="6"/>
        <v>0</v>
      </c>
      <c r="V17" s="160">
        <f>D17*U17</f>
        <v>0</v>
      </c>
      <c r="W17" s="160">
        <f>U17*3.1</f>
        <v>0</v>
      </c>
      <c r="X17" s="161">
        <f t="shared" si="7"/>
        <v>0</v>
      </c>
      <c r="Y17" s="91"/>
    </row>
    <row r="18" spans="2:25" ht="109.5" customHeight="1" x14ac:dyDescent="0.35">
      <c r="B18" s="142" t="s">
        <v>78</v>
      </c>
      <c r="C18" s="143"/>
      <c r="D18" s="144">
        <v>2</v>
      </c>
      <c r="E18" s="144" t="s">
        <v>79</v>
      </c>
      <c r="F18" s="886">
        <v>130.81</v>
      </c>
      <c r="G18" s="146"/>
      <c r="H18" s="147"/>
      <c r="I18" s="148"/>
      <c r="J18" s="149"/>
      <c r="K18" s="150"/>
      <c r="L18" s="151"/>
      <c r="M18" s="152"/>
      <c r="N18" s="153"/>
      <c r="O18" s="154"/>
      <c r="P18" s="155"/>
      <c r="Q18" s="156"/>
      <c r="R18" s="157"/>
      <c r="S18" s="158"/>
      <c r="T18" s="159"/>
      <c r="U18" s="160">
        <f t="shared" si="6"/>
        <v>0</v>
      </c>
      <c r="V18" s="160">
        <f>D18*U18</f>
        <v>0</v>
      </c>
      <c r="W18" s="160">
        <f>U18*1.4</f>
        <v>0</v>
      </c>
      <c r="X18" s="161">
        <f t="shared" si="7"/>
        <v>0</v>
      </c>
      <c r="Y18" s="91"/>
    </row>
    <row r="19" spans="2:25" ht="32.25" customHeight="1" x14ac:dyDescent="0.35">
      <c r="F19" s="887" t="s">
        <v>20</v>
      </c>
      <c r="G19" s="74">
        <f>SUM(G5:G18)</f>
        <v>0</v>
      </c>
      <c r="H19" s="74">
        <f t="shared" ref="H19:R19" si="10">SUM(H5:H18)</f>
        <v>0</v>
      </c>
      <c r="I19" s="74">
        <f t="shared" si="10"/>
        <v>0</v>
      </c>
      <c r="J19" s="74">
        <f t="shared" si="10"/>
        <v>0</v>
      </c>
      <c r="K19" s="74">
        <f t="shared" si="10"/>
        <v>0</v>
      </c>
      <c r="L19" s="74">
        <f t="shared" si="10"/>
        <v>0</v>
      </c>
      <c r="M19" s="74">
        <f t="shared" si="10"/>
        <v>0</v>
      </c>
      <c r="N19" s="74">
        <f t="shared" si="10"/>
        <v>0</v>
      </c>
      <c r="O19" s="74">
        <f t="shared" si="10"/>
        <v>0</v>
      </c>
      <c r="P19" s="74">
        <f t="shared" si="10"/>
        <v>0</v>
      </c>
      <c r="Q19" s="74">
        <f t="shared" si="10"/>
        <v>0</v>
      </c>
      <c r="R19" s="74">
        <f t="shared" si="10"/>
        <v>0</v>
      </c>
      <c r="S19" s="74">
        <f t="shared" ref="S19" si="11">SUM(S5:S18)</f>
        <v>0</v>
      </c>
      <c r="T19" s="74">
        <f t="shared" ref="T19" si="12">SUM(T5:T18)</f>
        <v>0</v>
      </c>
      <c r="U19" s="74">
        <f>SUM(U5:U18)</f>
        <v>0</v>
      </c>
      <c r="V19" s="74">
        <f t="shared" ref="V19:W19" si="13">SUM(V5:V18)</f>
        <v>0</v>
      </c>
      <c r="W19" s="74">
        <f t="shared" si="13"/>
        <v>0</v>
      </c>
      <c r="X19" s="75">
        <f>SUM(X5:X18)</f>
        <v>0</v>
      </c>
      <c r="Y19" s="91"/>
    </row>
    <row r="20" spans="2:25" ht="57" customHeight="1" x14ac:dyDescent="0.6">
      <c r="B20" s="1043" t="s">
        <v>80</v>
      </c>
      <c r="C20" s="1031"/>
      <c r="D20" s="1031"/>
      <c r="E20" s="1031"/>
      <c r="F20" s="103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162"/>
      <c r="R20" s="91"/>
      <c r="S20" s="91"/>
      <c r="T20" s="91"/>
      <c r="U20" s="91"/>
      <c r="V20" s="91"/>
      <c r="W20" s="91"/>
      <c r="X20" s="91"/>
      <c r="Y20" s="91"/>
    </row>
    <row r="21" spans="2:25" ht="36" customHeight="1" x14ac:dyDescent="0.35">
      <c r="B21" s="1036" t="s">
        <v>987</v>
      </c>
      <c r="C21" s="1036"/>
      <c r="D21" s="876">
        <f>SUM(D22:D35)</f>
        <v>84</v>
      </c>
      <c r="E21" s="882" t="s">
        <v>984</v>
      </c>
      <c r="F21" s="880">
        <f>SUM(F22:F35)*0.95</f>
        <v>2057.7855</v>
      </c>
      <c r="G21" s="115"/>
      <c r="H21" s="116"/>
      <c r="I21" s="139"/>
      <c r="J21" s="132"/>
      <c r="K21" s="140"/>
      <c r="L21" s="120"/>
      <c r="M21" s="121"/>
      <c r="N21" s="122"/>
      <c r="O21" s="123"/>
      <c r="P21" s="124"/>
      <c r="Q21" s="125"/>
      <c r="R21" s="126"/>
      <c r="S21" s="127"/>
      <c r="T21" s="128"/>
      <c r="U21" s="129">
        <f t="shared" ref="U21" si="14">SUM(G21:T21)</f>
        <v>0</v>
      </c>
      <c r="V21" s="129">
        <f>D21*U21</f>
        <v>0</v>
      </c>
      <c r="W21" s="129">
        <f>U21*0.884</f>
        <v>0</v>
      </c>
      <c r="X21" s="130">
        <f>F21*U21</f>
        <v>0</v>
      </c>
      <c r="Y21" s="871"/>
    </row>
    <row r="22" spans="2:25" ht="109.5" customHeight="1" x14ac:dyDescent="0.35">
      <c r="B22" s="113" t="s">
        <v>81</v>
      </c>
      <c r="C22" s="114"/>
      <c r="D22" s="113">
        <v>10</v>
      </c>
      <c r="E22" s="113" t="s">
        <v>82</v>
      </c>
      <c r="F22" s="884">
        <v>86.52</v>
      </c>
      <c r="G22" s="115"/>
      <c r="H22" s="116"/>
      <c r="I22" s="139"/>
      <c r="J22" s="132"/>
      <c r="K22" s="140"/>
      <c r="L22" s="120"/>
      <c r="M22" s="121"/>
      <c r="N22" s="122"/>
      <c r="O22" s="123"/>
      <c r="P22" s="124"/>
      <c r="Q22" s="125"/>
      <c r="R22" s="126"/>
      <c r="S22" s="127"/>
      <c r="T22" s="128"/>
      <c r="U22" s="129">
        <f t="shared" ref="U22:U35" si="15">SUM(G22:T22)</f>
        <v>0</v>
      </c>
      <c r="V22" s="129">
        <f>D22*U22</f>
        <v>0</v>
      </c>
      <c r="W22" s="129">
        <f>U22*0.884</f>
        <v>0</v>
      </c>
      <c r="X22" s="130">
        <f>F22*U22</f>
        <v>0</v>
      </c>
      <c r="Y22" s="91"/>
    </row>
    <row r="23" spans="2:25" ht="109.5" customHeight="1" x14ac:dyDescent="0.35">
      <c r="B23" s="163" t="s">
        <v>83</v>
      </c>
      <c r="C23" s="143"/>
      <c r="D23" s="144">
        <v>10</v>
      </c>
      <c r="E23" s="144" t="s">
        <v>84</v>
      </c>
      <c r="F23" s="886">
        <v>59.74</v>
      </c>
      <c r="G23" s="146"/>
      <c r="H23" s="147"/>
      <c r="I23" s="148"/>
      <c r="J23" s="149"/>
      <c r="K23" s="150"/>
      <c r="L23" s="151"/>
      <c r="M23" s="152"/>
      <c r="N23" s="153"/>
      <c r="O23" s="154"/>
      <c r="P23" s="155"/>
      <c r="Q23" s="156"/>
      <c r="R23" s="157"/>
      <c r="S23" s="158"/>
      <c r="T23" s="159"/>
      <c r="U23" s="160">
        <f t="shared" si="15"/>
        <v>0</v>
      </c>
      <c r="V23" s="160">
        <f>U23*D23</f>
        <v>0</v>
      </c>
      <c r="W23" s="160">
        <f>U23*0.706</f>
        <v>0</v>
      </c>
      <c r="X23" s="161">
        <f>U23*F23</f>
        <v>0</v>
      </c>
      <c r="Y23" s="91"/>
    </row>
    <row r="24" spans="2:25" ht="109.5" customHeight="1" x14ac:dyDescent="0.35">
      <c r="B24" s="164" t="s">
        <v>85</v>
      </c>
      <c r="C24" s="165"/>
      <c r="D24" s="113">
        <v>10</v>
      </c>
      <c r="E24" s="113" t="s">
        <v>86</v>
      </c>
      <c r="F24" s="884">
        <v>108.15</v>
      </c>
      <c r="G24" s="115"/>
      <c r="H24" s="116"/>
      <c r="I24" s="139"/>
      <c r="J24" s="132"/>
      <c r="K24" s="140"/>
      <c r="L24" s="120"/>
      <c r="M24" s="121"/>
      <c r="N24" s="122"/>
      <c r="O24" s="123"/>
      <c r="P24" s="124"/>
      <c r="Q24" s="125"/>
      <c r="R24" s="126"/>
      <c r="S24" s="127"/>
      <c r="T24" s="128"/>
      <c r="U24" s="129">
        <f t="shared" si="15"/>
        <v>0</v>
      </c>
      <c r="V24" s="129">
        <f t="shared" ref="V24:V29" si="16">D24*U24</f>
        <v>0</v>
      </c>
      <c r="W24" s="129">
        <f>U24*1.323</f>
        <v>0</v>
      </c>
      <c r="X24" s="166">
        <f t="shared" ref="X24:X29" si="17">F24*U24</f>
        <v>0</v>
      </c>
      <c r="Y24" s="91"/>
    </row>
    <row r="25" spans="2:25" ht="109.5" customHeight="1" x14ac:dyDescent="0.35">
      <c r="B25" s="163" t="s">
        <v>87</v>
      </c>
      <c r="C25" s="143"/>
      <c r="D25" s="144">
        <v>10</v>
      </c>
      <c r="E25" s="144" t="s">
        <v>88</v>
      </c>
      <c r="F25" s="886">
        <v>143.17000000000002</v>
      </c>
      <c r="G25" s="146"/>
      <c r="H25" s="147"/>
      <c r="I25" s="148"/>
      <c r="J25" s="149"/>
      <c r="K25" s="150"/>
      <c r="L25" s="151"/>
      <c r="M25" s="152"/>
      <c r="N25" s="153"/>
      <c r="O25" s="154"/>
      <c r="P25" s="155"/>
      <c r="Q25" s="156"/>
      <c r="R25" s="157"/>
      <c r="S25" s="158"/>
      <c r="T25" s="159"/>
      <c r="U25" s="160">
        <f t="shared" si="15"/>
        <v>0</v>
      </c>
      <c r="V25" s="160">
        <f t="shared" si="16"/>
        <v>0</v>
      </c>
      <c r="W25" s="160">
        <f>U25*2</f>
        <v>0</v>
      </c>
      <c r="X25" s="161">
        <f t="shared" si="17"/>
        <v>0</v>
      </c>
      <c r="Y25" s="91"/>
    </row>
    <row r="26" spans="2:25" ht="109.5" customHeight="1" x14ac:dyDescent="0.35">
      <c r="B26" s="142" t="s">
        <v>89</v>
      </c>
      <c r="C26" s="143"/>
      <c r="D26" s="144">
        <v>10</v>
      </c>
      <c r="E26" s="144" t="s">
        <v>90</v>
      </c>
      <c r="F26" s="886">
        <v>133.9</v>
      </c>
      <c r="G26" s="146"/>
      <c r="H26" s="147"/>
      <c r="I26" s="148"/>
      <c r="J26" s="149"/>
      <c r="K26" s="150"/>
      <c r="L26" s="151"/>
      <c r="M26" s="152"/>
      <c r="N26" s="153"/>
      <c r="O26" s="154"/>
      <c r="P26" s="155"/>
      <c r="Q26" s="156"/>
      <c r="R26" s="157"/>
      <c r="S26" s="158"/>
      <c r="T26" s="159"/>
      <c r="U26" s="160">
        <f t="shared" si="15"/>
        <v>0</v>
      </c>
      <c r="V26" s="160">
        <f t="shared" si="16"/>
        <v>0</v>
      </c>
      <c r="W26" s="160">
        <f>U26*1.71</f>
        <v>0</v>
      </c>
      <c r="X26" s="161">
        <f t="shared" si="17"/>
        <v>0</v>
      </c>
      <c r="Y26" s="91"/>
    </row>
    <row r="27" spans="2:25" ht="109.5" customHeight="1" x14ac:dyDescent="0.35">
      <c r="B27" s="142" t="s">
        <v>91</v>
      </c>
      <c r="C27" s="143"/>
      <c r="D27" s="144">
        <v>10</v>
      </c>
      <c r="E27" s="144" t="s">
        <v>92</v>
      </c>
      <c r="F27" s="886">
        <v>170.98000000000002</v>
      </c>
      <c r="G27" s="146"/>
      <c r="H27" s="147"/>
      <c r="I27" s="148"/>
      <c r="J27" s="149"/>
      <c r="K27" s="150"/>
      <c r="L27" s="151"/>
      <c r="M27" s="152"/>
      <c r="N27" s="153"/>
      <c r="O27" s="154"/>
      <c r="P27" s="155"/>
      <c r="Q27" s="156"/>
      <c r="R27" s="157"/>
      <c r="S27" s="158"/>
      <c r="T27" s="159"/>
      <c r="U27" s="160">
        <f t="shared" si="15"/>
        <v>0</v>
      </c>
      <c r="V27" s="160">
        <f t="shared" si="16"/>
        <v>0</v>
      </c>
      <c r="W27" s="160">
        <f>U27*2.473</f>
        <v>0</v>
      </c>
      <c r="X27" s="161">
        <f t="shared" si="17"/>
        <v>0</v>
      </c>
      <c r="Y27" s="91"/>
    </row>
    <row r="28" spans="2:25" ht="109.5" customHeight="1" x14ac:dyDescent="0.35">
      <c r="B28" s="142" t="s">
        <v>93</v>
      </c>
      <c r="C28" s="167"/>
      <c r="D28" s="144">
        <v>3</v>
      </c>
      <c r="E28" s="144" t="s">
        <v>94</v>
      </c>
      <c r="F28" s="886">
        <v>103</v>
      </c>
      <c r="G28" s="146"/>
      <c r="H28" s="147"/>
      <c r="I28" s="148"/>
      <c r="J28" s="149"/>
      <c r="K28" s="150"/>
      <c r="L28" s="151"/>
      <c r="M28" s="152"/>
      <c r="N28" s="153"/>
      <c r="O28" s="154"/>
      <c r="P28" s="155"/>
      <c r="Q28" s="156"/>
      <c r="R28" s="157"/>
      <c r="S28" s="158"/>
      <c r="T28" s="159"/>
      <c r="U28" s="160">
        <f t="shared" si="15"/>
        <v>0</v>
      </c>
      <c r="V28" s="160">
        <f t="shared" si="16"/>
        <v>0</v>
      </c>
      <c r="W28" s="160">
        <f>U28*0.91</f>
        <v>0</v>
      </c>
      <c r="X28" s="161">
        <f t="shared" si="17"/>
        <v>0</v>
      </c>
      <c r="Y28" s="91"/>
    </row>
    <row r="29" spans="2:25" ht="109.5" customHeight="1" x14ac:dyDescent="0.35">
      <c r="B29" s="142" t="s">
        <v>95</v>
      </c>
      <c r="C29" s="167"/>
      <c r="D29" s="144">
        <v>3</v>
      </c>
      <c r="E29" s="144" t="s">
        <v>96</v>
      </c>
      <c r="F29" s="886">
        <v>98.88</v>
      </c>
      <c r="G29" s="146"/>
      <c r="H29" s="147"/>
      <c r="I29" s="148"/>
      <c r="J29" s="149"/>
      <c r="K29" s="150"/>
      <c r="L29" s="151"/>
      <c r="M29" s="152"/>
      <c r="N29" s="153"/>
      <c r="O29" s="154"/>
      <c r="P29" s="155"/>
      <c r="Q29" s="156"/>
      <c r="R29" s="157"/>
      <c r="S29" s="158"/>
      <c r="T29" s="159"/>
      <c r="U29" s="160">
        <f t="shared" si="15"/>
        <v>0</v>
      </c>
      <c r="V29" s="160">
        <f t="shared" si="16"/>
        <v>0</v>
      </c>
      <c r="W29" s="160">
        <f>U29*0.84</f>
        <v>0</v>
      </c>
      <c r="X29" s="161">
        <f t="shared" si="17"/>
        <v>0</v>
      </c>
      <c r="Y29" s="91"/>
    </row>
    <row r="30" spans="2:25" ht="109.5" customHeight="1" x14ac:dyDescent="0.35">
      <c r="B30" s="142" t="s">
        <v>97</v>
      </c>
      <c r="C30" s="167"/>
      <c r="D30" s="144">
        <v>3</v>
      </c>
      <c r="E30" s="144" t="s">
        <v>98</v>
      </c>
      <c r="F30" s="886">
        <v>128.75</v>
      </c>
      <c r="G30" s="146"/>
      <c r="H30" s="147"/>
      <c r="I30" s="148"/>
      <c r="J30" s="149"/>
      <c r="K30" s="150"/>
      <c r="L30" s="151"/>
      <c r="M30" s="152"/>
      <c r="N30" s="153"/>
      <c r="O30" s="154"/>
      <c r="P30" s="155"/>
      <c r="Q30" s="156"/>
      <c r="R30" s="157"/>
      <c r="S30" s="158"/>
      <c r="T30" s="159"/>
      <c r="U30" s="160">
        <f t="shared" si="15"/>
        <v>0</v>
      </c>
      <c r="V30" s="160">
        <f>U30*D30</f>
        <v>0</v>
      </c>
      <c r="W30" s="160">
        <f>U30*1.2</f>
        <v>0</v>
      </c>
      <c r="X30" s="161">
        <f t="shared" ref="X30:X31" si="18">U30*F30</f>
        <v>0</v>
      </c>
      <c r="Y30" s="91"/>
    </row>
    <row r="31" spans="2:25" ht="109.5" customHeight="1" x14ac:dyDescent="0.35">
      <c r="B31" s="142" t="s">
        <v>99</v>
      </c>
      <c r="C31" s="167"/>
      <c r="D31" s="144">
        <v>3</v>
      </c>
      <c r="E31" s="144" t="s">
        <v>100</v>
      </c>
      <c r="F31" s="886">
        <v>155.53</v>
      </c>
      <c r="G31" s="146"/>
      <c r="H31" s="147"/>
      <c r="I31" s="148"/>
      <c r="J31" s="149"/>
      <c r="K31" s="150"/>
      <c r="L31" s="151"/>
      <c r="M31" s="152"/>
      <c r="N31" s="153"/>
      <c r="O31" s="154"/>
      <c r="P31" s="155"/>
      <c r="Q31" s="156"/>
      <c r="R31" s="157"/>
      <c r="S31" s="158"/>
      <c r="T31" s="159"/>
      <c r="U31" s="160">
        <f t="shared" si="15"/>
        <v>0</v>
      </c>
      <c r="V31" s="160">
        <f>U31*D31</f>
        <v>0</v>
      </c>
      <c r="W31" s="160">
        <f>U31*1.6</f>
        <v>0</v>
      </c>
      <c r="X31" s="161">
        <f t="shared" si="18"/>
        <v>0</v>
      </c>
      <c r="Y31" s="91"/>
    </row>
    <row r="32" spans="2:25" ht="109.5" customHeight="1" x14ac:dyDescent="0.35">
      <c r="B32" s="142" t="s">
        <v>101</v>
      </c>
      <c r="C32" s="167"/>
      <c r="D32" s="144">
        <v>3</v>
      </c>
      <c r="E32" s="144" t="s">
        <v>102</v>
      </c>
      <c r="F32" s="886">
        <v>152.44</v>
      </c>
      <c r="G32" s="146"/>
      <c r="H32" s="147"/>
      <c r="I32" s="148"/>
      <c r="J32" s="149"/>
      <c r="K32" s="150"/>
      <c r="L32" s="151"/>
      <c r="M32" s="152"/>
      <c r="N32" s="153"/>
      <c r="O32" s="154"/>
      <c r="P32" s="155"/>
      <c r="Q32" s="156"/>
      <c r="R32" s="157"/>
      <c r="S32" s="158"/>
      <c r="T32" s="159"/>
      <c r="U32" s="160">
        <f t="shared" si="15"/>
        <v>0</v>
      </c>
      <c r="V32" s="160">
        <f>D32*U32</f>
        <v>0</v>
      </c>
      <c r="W32" s="160">
        <f>U32*1.7</f>
        <v>0</v>
      </c>
      <c r="X32" s="161">
        <f t="shared" ref="X32:X35" si="19">F32*U32</f>
        <v>0</v>
      </c>
      <c r="Y32" s="91"/>
    </row>
    <row r="33" spans="2:25" ht="109.5" customHeight="1" x14ac:dyDescent="0.35">
      <c r="B33" s="163" t="s">
        <v>103</v>
      </c>
      <c r="C33" s="143"/>
      <c r="D33" s="144">
        <v>3</v>
      </c>
      <c r="E33" s="144" t="s">
        <v>104</v>
      </c>
      <c r="F33" s="886">
        <v>237.93</v>
      </c>
      <c r="G33" s="146"/>
      <c r="H33" s="147"/>
      <c r="I33" s="148"/>
      <c r="J33" s="149"/>
      <c r="K33" s="150"/>
      <c r="L33" s="151"/>
      <c r="M33" s="152"/>
      <c r="N33" s="153"/>
      <c r="O33" s="154"/>
      <c r="P33" s="155"/>
      <c r="Q33" s="156"/>
      <c r="R33" s="157"/>
      <c r="S33" s="158"/>
      <c r="T33" s="159"/>
      <c r="U33" s="160">
        <f t="shared" si="15"/>
        <v>0</v>
      </c>
      <c r="V33" s="160">
        <f>D33*U33</f>
        <v>0</v>
      </c>
      <c r="W33" s="160">
        <f>U33*1.43</f>
        <v>0</v>
      </c>
      <c r="X33" s="161">
        <f t="shared" si="19"/>
        <v>0</v>
      </c>
      <c r="Y33" s="91"/>
    </row>
    <row r="34" spans="2:25" ht="109.5" customHeight="1" x14ac:dyDescent="0.35">
      <c r="B34" s="164" t="s">
        <v>105</v>
      </c>
      <c r="C34" s="165"/>
      <c r="D34" s="113">
        <v>3</v>
      </c>
      <c r="E34" s="113" t="s">
        <v>106</v>
      </c>
      <c r="F34" s="884">
        <v>250.29000000000002</v>
      </c>
      <c r="G34" s="115"/>
      <c r="H34" s="116"/>
      <c r="I34" s="139"/>
      <c r="J34" s="132"/>
      <c r="K34" s="140"/>
      <c r="L34" s="120"/>
      <c r="M34" s="121"/>
      <c r="N34" s="122"/>
      <c r="O34" s="123"/>
      <c r="P34" s="124"/>
      <c r="Q34" s="125"/>
      <c r="R34" s="126"/>
      <c r="S34" s="127"/>
      <c r="T34" s="128"/>
      <c r="U34" s="129">
        <f t="shared" si="15"/>
        <v>0</v>
      </c>
      <c r="V34" s="129">
        <f>D34*U34</f>
        <v>0</v>
      </c>
      <c r="W34" s="129">
        <f>U34*3.3</f>
        <v>0</v>
      </c>
      <c r="X34" s="166">
        <f t="shared" si="19"/>
        <v>0</v>
      </c>
      <c r="Y34" s="91"/>
    </row>
    <row r="35" spans="2:25" ht="109.5" customHeight="1" x14ac:dyDescent="0.35">
      <c r="B35" s="164" t="s">
        <v>107</v>
      </c>
      <c r="C35" s="165"/>
      <c r="D35" s="113">
        <v>3</v>
      </c>
      <c r="E35" s="113" t="s">
        <v>108</v>
      </c>
      <c r="F35" s="884">
        <v>336.81</v>
      </c>
      <c r="G35" s="115"/>
      <c r="H35" s="116"/>
      <c r="I35" s="139"/>
      <c r="J35" s="132"/>
      <c r="K35" s="140"/>
      <c r="L35" s="120"/>
      <c r="M35" s="121"/>
      <c r="N35" s="122"/>
      <c r="O35" s="123"/>
      <c r="P35" s="124"/>
      <c r="Q35" s="125"/>
      <c r="R35" s="126"/>
      <c r="S35" s="127"/>
      <c r="T35" s="128"/>
      <c r="U35" s="129">
        <f t="shared" si="15"/>
        <v>0</v>
      </c>
      <c r="V35" s="129">
        <f>D35*U35</f>
        <v>0</v>
      </c>
      <c r="W35" s="129">
        <f>U35*4.637</f>
        <v>0</v>
      </c>
      <c r="X35" s="166">
        <f t="shared" si="19"/>
        <v>0</v>
      </c>
      <c r="Y35" s="91"/>
    </row>
    <row r="36" spans="2:25" ht="15.75" customHeight="1" x14ac:dyDescent="0.35">
      <c r="F36" s="887" t="s">
        <v>20</v>
      </c>
      <c r="G36" s="74">
        <f t="shared" ref="G36:U36" si="20">SUM(G21:G35)</f>
        <v>0</v>
      </c>
      <c r="H36" s="74">
        <f t="shared" si="20"/>
        <v>0</v>
      </c>
      <c r="I36" s="74">
        <f t="shared" si="20"/>
        <v>0</v>
      </c>
      <c r="J36" s="74">
        <f t="shared" si="20"/>
        <v>0</v>
      </c>
      <c r="K36" s="74">
        <f t="shared" si="20"/>
        <v>0</v>
      </c>
      <c r="L36" s="74">
        <f t="shared" si="20"/>
        <v>0</v>
      </c>
      <c r="M36" s="74">
        <f t="shared" si="20"/>
        <v>0</v>
      </c>
      <c r="N36" s="74">
        <f t="shared" si="20"/>
        <v>0</v>
      </c>
      <c r="O36" s="74">
        <f t="shared" si="20"/>
        <v>0</v>
      </c>
      <c r="P36" s="74">
        <f t="shared" si="20"/>
        <v>0</v>
      </c>
      <c r="Q36" s="74">
        <f t="shared" si="20"/>
        <v>0</v>
      </c>
      <c r="R36" s="74">
        <f t="shared" si="20"/>
        <v>0</v>
      </c>
      <c r="S36" s="74">
        <f t="shared" si="20"/>
        <v>0</v>
      </c>
      <c r="T36" s="74">
        <f t="shared" si="20"/>
        <v>0</v>
      </c>
      <c r="U36" s="74">
        <f t="shared" si="20"/>
        <v>0</v>
      </c>
      <c r="V36" s="74">
        <f t="shared" ref="V36:W36" si="21">SUM(V21:V35)</f>
        <v>0</v>
      </c>
      <c r="W36" s="74">
        <f t="shared" si="21"/>
        <v>0</v>
      </c>
      <c r="X36" s="75">
        <f>SUM(X21:X35)</f>
        <v>0</v>
      </c>
      <c r="Y36" s="91"/>
    </row>
    <row r="37" spans="2:25" ht="15.75" customHeight="1" x14ac:dyDescent="0.35">
      <c r="B37" s="91"/>
      <c r="C37" s="91"/>
      <c r="D37" s="91"/>
      <c r="E37" s="91"/>
      <c r="F37" s="887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</row>
    <row r="38" spans="2:25" ht="15.75" customHeight="1" x14ac:dyDescent="0.35">
      <c r="F38" s="864"/>
    </row>
    <row r="39" spans="2:25" ht="15.75" customHeight="1" x14ac:dyDescent="0.35">
      <c r="F39" s="864"/>
    </row>
    <row r="40" spans="2:25" ht="15.75" customHeight="1" x14ac:dyDescent="0.35">
      <c r="F40" s="864"/>
    </row>
    <row r="41" spans="2:25" ht="15.75" customHeight="1" x14ac:dyDescent="0.35">
      <c r="F41" s="864"/>
    </row>
    <row r="42" spans="2:25" ht="15.75" customHeight="1" x14ac:dyDescent="0.35">
      <c r="F42" s="864"/>
    </row>
    <row r="43" spans="2:25" ht="15.75" customHeight="1" x14ac:dyDescent="0.35">
      <c r="F43" s="864"/>
    </row>
    <row r="44" spans="2:25" ht="15.75" customHeight="1" x14ac:dyDescent="0.35">
      <c r="F44" s="864"/>
    </row>
    <row r="45" spans="2:25" ht="15.75" customHeight="1" x14ac:dyDescent="0.35">
      <c r="F45" s="864"/>
    </row>
    <row r="46" spans="2:25" ht="15.75" customHeight="1" x14ac:dyDescent="0.35">
      <c r="F46" s="864"/>
    </row>
    <row r="47" spans="2:25" ht="15.75" customHeight="1" x14ac:dyDescent="0.35">
      <c r="F47" s="864"/>
    </row>
    <row r="48" spans="2:25" ht="15.75" customHeight="1" x14ac:dyDescent="0.35">
      <c r="F48" s="864"/>
    </row>
    <row r="49" spans="6:6" ht="15.75" customHeight="1" x14ac:dyDescent="0.35">
      <c r="F49" s="864"/>
    </row>
    <row r="50" spans="6:6" ht="15.75" customHeight="1" x14ac:dyDescent="0.35">
      <c r="F50" s="864"/>
    </row>
    <row r="51" spans="6:6" ht="15.75" customHeight="1" x14ac:dyDescent="0.35">
      <c r="F51" s="864"/>
    </row>
    <row r="52" spans="6:6" ht="15.75" customHeight="1" x14ac:dyDescent="0.35">
      <c r="F52" s="864"/>
    </row>
    <row r="53" spans="6:6" ht="15.75" customHeight="1" x14ac:dyDescent="0.35">
      <c r="F53" s="864"/>
    </row>
    <row r="54" spans="6:6" ht="15.75" customHeight="1" x14ac:dyDescent="0.35">
      <c r="F54" s="864"/>
    </row>
    <row r="55" spans="6:6" ht="15.75" customHeight="1" x14ac:dyDescent="0.35">
      <c r="F55" s="864"/>
    </row>
    <row r="56" spans="6:6" ht="15.75" customHeight="1" x14ac:dyDescent="0.35">
      <c r="F56" s="864"/>
    </row>
    <row r="57" spans="6:6" ht="15.75" customHeight="1" x14ac:dyDescent="0.35">
      <c r="F57" s="864"/>
    </row>
    <row r="58" spans="6:6" ht="15.75" customHeight="1" x14ac:dyDescent="0.35">
      <c r="F58" s="864"/>
    </row>
    <row r="59" spans="6:6" ht="15.75" customHeight="1" x14ac:dyDescent="0.35">
      <c r="F59" s="864"/>
    </row>
    <row r="60" spans="6:6" ht="15.75" customHeight="1" x14ac:dyDescent="0.35">
      <c r="F60" s="864"/>
    </row>
    <row r="61" spans="6:6" ht="15.75" customHeight="1" x14ac:dyDescent="0.35">
      <c r="F61" s="864"/>
    </row>
    <row r="62" spans="6:6" ht="15.75" customHeight="1" x14ac:dyDescent="0.35">
      <c r="F62" s="864"/>
    </row>
    <row r="63" spans="6:6" ht="15.75" customHeight="1" x14ac:dyDescent="0.35">
      <c r="F63" s="864"/>
    </row>
    <row r="64" spans="6:6" ht="15.75" customHeight="1" x14ac:dyDescent="0.35">
      <c r="F64" s="864"/>
    </row>
    <row r="65" spans="6:6" ht="15.75" customHeight="1" x14ac:dyDescent="0.35">
      <c r="F65" s="864"/>
    </row>
    <row r="66" spans="6:6" ht="15.75" customHeight="1" x14ac:dyDescent="0.35">
      <c r="F66" s="864"/>
    </row>
    <row r="67" spans="6:6" ht="15.75" customHeight="1" x14ac:dyDescent="0.35">
      <c r="F67" s="864"/>
    </row>
    <row r="68" spans="6:6" ht="15.75" customHeight="1" x14ac:dyDescent="0.35">
      <c r="F68" s="864"/>
    </row>
    <row r="69" spans="6:6" ht="15.75" customHeight="1" x14ac:dyDescent="0.35">
      <c r="F69" s="864"/>
    </row>
    <row r="70" spans="6:6" ht="15.75" customHeight="1" x14ac:dyDescent="0.35">
      <c r="F70" s="864"/>
    </row>
    <row r="71" spans="6:6" ht="15.75" customHeight="1" x14ac:dyDescent="0.35">
      <c r="F71" s="864"/>
    </row>
    <row r="72" spans="6:6" ht="15.75" customHeight="1" x14ac:dyDescent="0.35">
      <c r="F72" s="864"/>
    </row>
    <row r="73" spans="6:6" ht="15.75" customHeight="1" x14ac:dyDescent="0.35">
      <c r="F73" s="864"/>
    </row>
    <row r="74" spans="6:6" ht="15.75" customHeight="1" x14ac:dyDescent="0.35">
      <c r="F74" s="864"/>
    </row>
    <row r="75" spans="6:6" ht="15.75" customHeight="1" x14ac:dyDescent="0.35">
      <c r="F75" s="864"/>
    </row>
    <row r="76" spans="6:6" ht="15.75" customHeight="1" x14ac:dyDescent="0.35">
      <c r="F76" s="864"/>
    </row>
    <row r="77" spans="6:6" ht="15.75" customHeight="1" x14ac:dyDescent="0.35">
      <c r="F77" s="864"/>
    </row>
    <row r="78" spans="6:6" ht="15.75" customHeight="1" x14ac:dyDescent="0.35">
      <c r="F78" s="864"/>
    </row>
    <row r="79" spans="6:6" ht="15.75" customHeight="1" x14ac:dyDescent="0.35">
      <c r="F79" s="864"/>
    </row>
    <row r="80" spans="6:6" ht="15.75" customHeight="1" x14ac:dyDescent="0.35">
      <c r="F80" s="864"/>
    </row>
    <row r="81" spans="6:6" ht="15.75" customHeight="1" x14ac:dyDescent="0.35">
      <c r="F81" s="864"/>
    </row>
    <row r="82" spans="6:6" ht="15.75" customHeight="1" x14ac:dyDescent="0.35">
      <c r="F82" s="864"/>
    </row>
    <row r="83" spans="6:6" ht="15.75" customHeight="1" x14ac:dyDescent="0.35">
      <c r="F83" s="864"/>
    </row>
    <row r="84" spans="6:6" ht="15.75" customHeight="1" x14ac:dyDescent="0.35">
      <c r="F84" s="864"/>
    </row>
    <row r="85" spans="6:6" ht="15.75" customHeight="1" x14ac:dyDescent="0.35">
      <c r="F85" s="864"/>
    </row>
    <row r="86" spans="6:6" ht="15.75" customHeight="1" x14ac:dyDescent="0.35">
      <c r="F86" s="864"/>
    </row>
    <row r="87" spans="6:6" ht="15.75" customHeight="1" x14ac:dyDescent="0.35">
      <c r="F87" s="864"/>
    </row>
    <row r="88" spans="6:6" ht="15.75" customHeight="1" x14ac:dyDescent="0.35">
      <c r="F88" s="864"/>
    </row>
    <row r="89" spans="6:6" ht="15.75" customHeight="1" x14ac:dyDescent="0.35">
      <c r="F89" s="864"/>
    </row>
    <row r="90" spans="6:6" ht="15.75" customHeight="1" x14ac:dyDescent="0.35">
      <c r="F90" s="864"/>
    </row>
    <row r="91" spans="6:6" ht="15.75" customHeight="1" x14ac:dyDescent="0.35">
      <c r="F91" s="864"/>
    </row>
    <row r="92" spans="6:6" ht="15.75" customHeight="1" x14ac:dyDescent="0.35">
      <c r="F92" s="864"/>
    </row>
    <row r="93" spans="6:6" ht="15.75" customHeight="1" x14ac:dyDescent="0.35">
      <c r="F93" s="864"/>
    </row>
    <row r="94" spans="6:6" ht="15.75" customHeight="1" x14ac:dyDescent="0.35">
      <c r="F94" s="864"/>
    </row>
    <row r="95" spans="6:6" ht="15.75" customHeight="1" x14ac:dyDescent="0.35">
      <c r="F95" s="864"/>
    </row>
    <row r="96" spans="6:6" ht="15.75" customHeight="1" x14ac:dyDescent="0.35">
      <c r="F96" s="864"/>
    </row>
    <row r="97" spans="6:6" ht="15.75" customHeight="1" x14ac:dyDescent="0.35">
      <c r="F97" s="864"/>
    </row>
    <row r="98" spans="6:6" ht="15.75" customHeight="1" x14ac:dyDescent="0.35">
      <c r="F98" s="864"/>
    </row>
    <row r="99" spans="6:6" ht="15.75" customHeight="1" x14ac:dyDescent="0.35">
      <c r="F99" s="864"/>
    </row>
    <row r="100" spans="6:6" ht="15.75" customHeight="1" x14ac:dyDescent="0.35">
      <c r="F100" s="864"/>
    </row>
    <row r="101" spans="6:6" ht="15.75" customHeight="1" x14ac:dyDescent="0.35">
      <c r="F101" s="864"/>
    </row>
    <row r="102" spans="6:6" ht="15.75" customHeight="1" x14ac:dyDescent="0.35">
      <c r="F102" s="864"/>
    </row>
    <row r="103" spans="6:6" ht="15.75" customHeight="1" x14ac:dyDescent="0.35">
      <c r="F103" s="864"/>
    </row>
    <row r="104" spans="6:6" ht="15.75" customHeight="1" x14ac:dyDescent="0.35">
      <c r="F104" s="864"/>
    </row>
    <row r="105" spans="6:6" ht="15.75" customHeight="1" x14ac:dyDescent="0.35">
      <c r="F105" s="864"/>
    </row>
    <row r="106" spans="6:6" ht="15.75" customHeight="1" x14ac:dyDescent="0.35">
      <c r="F106" s="864"/>
    </row>
    <row r="107" spans="6:6" ht="15.75" customHeight="1" x14ac:dyDescent="0.35">
      <c r="F107" s="864"/>
    </row>
    <row r="108" spans="6:6" ht="15.75" customHeight="1" x14ac:dyDescent="0.35">
      <c r="F108" s="864"/>
    </row>
    <row r="109" spans="6:6" ht="15.75" customHeight="1" x14ac:dyDescent="0.35">
      <c r="F109" s="864"/>
    </row>
    <row r="110" spans="6:6" ht="15.75" customHeight="1" x14ac:dyDescent="0.35">
      <c r="F110" s="864"/>
    </row>
    <row r="111" spans="6:6" ht="15.75" customHeight="1" x14ac:dyDescent="0.35">
      <c r="F111" s="864"/>
    </row>
    <row r="112" spans="6:6" ht="15.75" customHeight="1" x14ac:dyDescent="0.35">
      <c r="F112" s="864"/>
    </row>
    <row r="113" spans="6:6" ht="15.75" customHeight="1" x14ac:dyDescent="0.35">
      <c r="F113" s="864"/>
    </row>
    <row r="114" spans="6:6" ht="15.75" customHeight="1" x14ac:dyDescent="0.35">
      <c r="F114" s="864"/>
    </row>
    <row r="115" spans="6:6" ht="15.75" customHeight="1" x14ac:dyDescent="0.35">
      <c r="F115" s="864"/>
    </row>
    <row r="116" spans="6:6" ht="15.75" customHeight="1" x14ac:dyDescent="0.35">
      <c r="F116" s="864"/>
    </row>
    <row r="117" spans="6:6" ht="15.75" customHeight="1" x14ac:dyDescent="0.35">
      <c r="F117" s="864"/>
    </row>
    <row r="118" spans="6:6" ht="15.75" customHeight="1" x14ac:dyDescent="0.35">
      <c r="F118" s="864"/>
    </row>
    <row r="119" spans="6:6" ht="15.75" customHeight="1" x14ac:dyDescent="0.35">
      <c r="F119" s="864"/>
    </row>
    <row r="120" spans="6:6" ht="15.75" customHeight="1" x14ac:dyDescent="0.35">
      <c r="F120" s="864"/>
    </row>
    <row r="121" spans="6:6" ht="15.75" customHeight="1" x14ac:dyDescent="0.35">
      <c r="F121" s="864"/>
    </row>
    <row r="122" spans="6:6" ht="15.75" customHeight="1" x14ac:dyDescent="0.35">
      <c r="F122" s="864"/>
    </row>
    <row r="123" spans="6:6" ht="15.75" customHeight="1" x14ac:dyDescent="0.35">
      <c r="F123" s="864"/>
    </row>
    <row r="124" spans="6:6" ht="15.75" customHeight="1" x14ac:dyDescent="0.35">
      <c r="F124" s="864"/>
    </row>
    <row r="125" spans="6:6" ht="15.75" customHeight="1" x14ac:dyDescent="0.35">
      <c r="F125" s="864"/>
    </row>
    <row r="126" spans="6:6" ht="15.75" customHeight="1" x14ac:dyDescent="0.35">
      <c r="F126" s="864"/>
    </row>
    <row r="127" spans="6:6" ht="15.75" customHeight="1" x14ac:dyDescent="0.35">
      <c r="F127" s="864"/>
    </row>
    <row r="128" spans="6:6" ht="15.75" customHeight="1" x14ac:dyDescent="0.35">
      <c r="F128" s="864"/>
    </row>
    <row r="129" spans="6:6" ht="15.75" customHeight="1" x14ac:dyDescent="0.35">
      <c r="F129" s="864"/>
    </row>
    <row r="130" spans="6:6" ht="15.75" customHeight="1" x14ac:dyDescent="0.35">
      <c r="F130" s="864"/>
    </row>
    <row r="131" spans="6:6" ht="15.75" customHeight="1" x14ac:dyDescent="0.35">
      <c r="F131" s="864"/>
    </row>
    <row r="132" spans="6:6" ht="15.75" customHeight="1" x14ac:dyDescent="0.35">
      <c r="F132" s="864"/>
    </row>
    <row r="133" spans="6:6" ht="15.75" customHeight="1" x14ac:dyDescent="0.35">
      <c r="F133" s="864"/>
    </row>
    <row r="134" spans="6:6" ht="15.75" customHeight="1" x14ac:dyDescent="0.35">
      <c r="F134" s="864"/>
    </row>
    <row r="135" spans="6:6" ht="15.75" customHeight="1" x14ac:dyDescent="0.35">
      <c r="F135" s="864"/>
    </row>
    <row r="136" spans="6:6" ht="15.75" customHeight="1" x14ac:dyDescent="0.35">
      <c r="F136" s="864"/>
    </row>
    <row r="137" spans="6:6" ht="15.75" customHeight="1" x14ac:dyDescent="0.35">
      <c r="F137" s="864"/>
    </row>
    <row r="138" spans="6:6" ht="15.75" customHeight="1" x14ac:dyDescent="0.35">
      <c r="F138" s="864"/>
    </row>
    <row r="139" spans="6:6" ht="15.75" customHeight="1" x14ac:dyDescent="0.35">
      <c r="F139" s="864"/>
    </row>
    <row r="140" spans="6:6" ht="15.75" customHeight="1" x14ac:dyDescent="0.35">
      <c r="F140" s="864"/>
    </row>
    <row r="141" spans="6:6" ht="15.75" customHeight="1" x14ac:dyDescent="0.35">
      <c r="F141" s="864"/>
    </row>
    <row r="142" spans="6:6" ht="15.75" customHeight="1" x14ac:dyDescent="0.35">
      <c r="F142" s="864"/>
    </row>
    <row r="143" spans="6:6" ht="15.75" customHeight="1" x14ac:dyDescent="0.35">
      <c r="F143" s="864"/>
    </row>
    <row r="144" spans="6:6" ht="15.75" customHeight="1" x14ac:dyDescent="0.35">
      <c r="F144" s="864"/>
    </row>
    <row r="145" spans="6:6" ht="15.75" customHeight="1" x14ac:dyDescent="0.35">
      <c r="F145" s="864"/>
    </row>
    <row r="146" spans="6:6" ht="15.75" customHeight="1" x14ac:dyDescent="0.35">
      <c r="F146" s="864"/>
    </row>
    <row r="147" spans="6:6" ht="15.75" customHeight="1" x14ac:dyDescent="0.35">
      <c r="F147" s="864"/>
    </row>
    <row r="148" spans="6:6" ht="15.75" customHeight="1" x14ac:dyDescent="0.35">
      <c r="F148" s="864"/>
    </row>
    <row r="149" spans="6:6" ht="15.75" customHeight="1" x14ac:dyDescent="0.35">
      <c r="F149" s="864"/>
    </row>
    <row r="150" spans="6:6" ht="15.75" customHeight="1" x14ac:dyDescent="0.35">
      <c r="F150" s="864"/>
    </row>
    <row r="151" spans="6:6" ht="15.75" customHeight="1" x14ac:dyDescent="0.35">
      <c r="F151" s="864"/>
    </row>
    <row r="152" spans="6:6" ht="15.75" customHeight="1" x14ac:dyDescent="0.35">
      <c r="F152" s="864"/>
    </row>
    <row r="153" spans="6:6" ht="15.75" customHeight="1" x14ac:dyDescent="0.35">
      <c r="F153" s="864"/>
    </row>
    <row r="154" spans="6:6" ht="15.75" customHeight="1" x14ac:dyDescent="0.35">
      <c r="F154" s="864"/>
    </row>
    <row r="155" spans="6:6" ht="15.75" customHeight="1" x14ac:dyDescent="0.35">
      <c r="F155" s="864"/>
    </row>
    <row r="156" spans="6:6" ht="15.75" customHeight="1" x14ac:dyDescent="0.35">
      <c r="F156" s="864"/>
    </row>
    <row r="157" spans="6:6" ht="15.75" customHeight="1" x14ac:dyDescent="0.35">
      <c r="F157" s="864"/>
    </row>
    <row r="158" spans="6:6" ht="15.75" customHeight="1" x14ac:dyDescent="0.35">
      <c r="F158" s="864"/>
    </row>
    <row r="159" spans="6:6" ht="15.75" customHeight="1" x14ac:dyDescent="0.35">
      <c r="F159" s="864"/>
    </row>
    <row r="160" spans="6:6" ht="15.75" customHeight="1" x14ac:dyDescent="0.35">
      <c r="F160" s="864"/>
    </row>
    <row r="161" spans="6:6" ht="15.75" customHeight="1" x14ac:dyDescent="0.35">
      <c r="F161" s="864"/>
    </row>
    <row r="162" spans="6:6" ht="15.75" customHeight="1" x14ac:dyDescent="0.35">
      <c r="F162" s="864"/>
    </row>
    <row r="163" spans="6:6" ht="15.75" customHeight="1" x14ac:dyDescent="0.35">
      <c r="F163" s="864"/>
    </row>
    <row r="164" spans="6:6" ht="15.75" customHeight="1" x14ac:dyDescent="0.35">
      <c r="F164" s="864"/>
    </row>
    <row r="165" spans="6:6" ht="15.75" customHeight="1" x14ac:dyDescent="0.35">
      <c r="F165" s="864"/>
    </row>
    <row r="166" spans="6:6" ht="15.75" customHeight="1" x14ac:dyDescent="0.35">
      <c r="F166" s="864"/>
    </row>
    <row r="167" spans="6:6" ht="15.75" customHeight="1" x14ac:dyDescent="0.35">
      <c r="F167" s="864"/>
    </row>
    <row r="168" spans="6:6" ht="15.75" customHeight="1" x14ac:dyDescent="0.35">
      <c r="F168" s="864"/>
    </row>
    <row r="169" spans="6:6" ht="15.75" customHeight="1" x14ac:dyDescent="0.35">
      <c r="F169" s="864"/>
    </row>
    <row r="170" spans="6:6" ht="15.75" customHeight="1" x14ac:dyDescent="0.35">
      <c r="F170" s="864"/>
    </row>
    <row r="171" spans="6:6" ht="15.75" customHeight="1" x14ac:dyDescent="0.35">
      <c r="F171" s="864"/>
    </row>
    <row r="172" spans="6:6" ht="15.75" customHeight="1" x14ac:dyDescent="0.35">
      <c r="F172" s="864"/>
    </row>
    <row r="173" spans="6:6" ht="15.75" customHeight="1" x14ac:dyDescent="0.35">
      <c r="F173" s="864"/>
    </row>
    <row r="174" spans="6:6" ht="15.75" customHeight="1" x14ac:dyDescent="0.35">
      <c r="F174" s="864"/>
    </row>
    <row r="175" spans="6:6" ht="15.75" customHeight="1" x14ac:dyDescent="0.35">
      <c r="F175" s="864"/>
    </row>
    <row r="176" spans="6:6" ht="15.75" customHeight="1" x14ac:dyDescent="0.35">
      <c r="F176" s="864"/>
    </row>
    <row r="177" spans="6:6" ht="15.75" customHeight="1" x14ac:dyDescent="0.35">
      <c r="F177" s="864"/>
    </row>
    <row r="178" spans="6:6" ht="15.75" customHeight="1" x14ac:dyDescent="0.35">
      <c r="F178" s="864"/>
    </row>
    <row r="179" spans="6:6" ht="15.75" customHeight="1" x14ac:dyDescent="0.35">
      <c r="F179" s="864"/>
    </row>
    <row r="180" spans="6:6" ht="15.75" customHeight="1" x14ac:dyDescent="0.35">
      <c r="F180" s="864"/>
    </row>
    <row r="181" spans="6:6" ht="15.75" customHeight="1" x14ac:dyDescent="0.35">
      <c r="F181" s="864"/>
    </row>
    <row r="182" spans="6:6" ht="15.75" customHeight="1" x14ac:dyDescent="0.35">
      <c r="F182" s="864"/>
    </row>
    <row r="183" spans="6:6" ht="15.75" customHeight="1" x14ac:dyDescent="0.35">
      <c r="F183" s="864"/>
    </row>
    <row r="184" spans="6:6" ht="15.75" customHeight="1" x14ac:dyDescent="0.35">
      <c r="F184" s="864"/>
    </row>
    <row r="185" spans="6:6" ht="15.75" customHeight="1" x14ac:dyDescent="0.35">
      <c r="F185" s="864"/>
    </row>
    <row r="186" spans="6:6" ht="15.75" customHeight="1" x14ac:dyDescent="0.35">
      <c r="F186" s="864"/>
    </row>
    <row r="187" spans="6:6" ht="15.75" customHeight="1" x14ac:dyDescent="0.35">
      <c r="F187" s="864"/>
    </row>
    <row r="188" spans="6:6" ht="15.75" customHeight="1" x14ac:dyDescent="0.35">
      <c r="F188" s="864"/>
    </row>
    <row r="189" spans="6:6" ht="15.75" customHeight="1" x14ac:dyDescent="0.35">
      <c r="F189" s="864"/>
    </row>
    <row r="190" spans="6:6" ht="15.75" customHeight="1" x14ac:dyDescent="0.35">
      <c r="F190" s="864"/>
    </row>
    <row r="191" spans="6:6" ht="15.75" customHeight="1" x14ac:dyDescent="0.35">
      <c r="F191" s="864"/>
    </row>
    <row r="192" spans="6:6" ht="15.75" customHeight="1" x14ac:dyDescent="0.35">
      <c r="F192" s="864"/>
    </row>
    <row r="193" spans="6:6" ht="15.75" customHeight="1" x14ac:dyDescent="0.35">
      <c r="F193" s="864"/>
    </row>
    <row r="194" spans="6:6" ht="15.75" customHeight="1" x14ac:dyDescent="0.35">
      <c r="F194" s="864"/>
    </row>
    <row r="195" spans="6:6" ht="15.75" customHeight="1" x14ac:dyDescent="0.35">
      <c r="F195" s="864"/>
    </row>
    <row r="196" spans="6:6" ht="15.75" customHeight="1" x14ac:dyDescent="0.35">
      <c r="F196" s="864"/>
    </row>
    <row r="197" spans="6:6" ht="15.75" customHeight="1" x14ac:dyDescent="0.35">
      <c r="F197" s="864"/>
    </row>
    <row r="198" spans="6:6" ht="15.75" customHeight="1" x14ac:dyDescent="0.35">
      <c r="F198" s="864"/>
    </row>
    <row r="199" spans="6:6" ht="15.75" customHeight="1" x14ac:dyDescent="0.35">
      <c r="F199" s="864"/>
    </row>
    <row r="200" spans="6:6" ht="15.75" customHeight="1" x14ac:dyDescent="0.35">
      <c r="F200" s="864"/>
    </row>
    <row r="201" spans="6:6" ht="15.75" customHeight="1" x14ac:dyDescent="0.35">
      <c r="F201" s="864"/>
    </row>
    <row r="202" spans="6:6" ht="15.75" customHeight="1" x14ac:dyDescent="0.35">
      <c r="F202" s="864"/>
    </row>
    <row r="203" spans="6:6" ht="15.75" customHeight="1" x14ac:dyDescent="0.35">
      <c r="F203" s="864"/>
    </row>
    <row r="204" spans="6:6" ht="15.75" customHeight="1" x14ac:dyDescent="0.35">
      <c r="F204" s="864"/>
    </row>
    <row r="205" spans="6:6" ht="15.75" customHeight="1" x14ac:dyDescent="0.35">
      <c r="F205" s="864"/>
    </row>
    <row r="206" spans="6:6" ht="15.75" customHeight="1" x14ac:dyDescent="0.35">
      <c r="F206" s="864"/>
    </row>
    <row r="207" spans="6:6" ht="15.75" customHeight="1" x14ac:dyDescent="0.35">
      <c r="F207" s="864"/>
    </row>
    <row r="208" spans="6:6" ht="15.75" customHeight="1" x14ac:dyDescent="0.35">
      <c r="F208" s="864"/>
    </row>
    <row r="209" spans="6:6" ht="15.75" customHeight="1" x14ac:dyDescent="0.35">
      <c r="F209" s="864"/>
    </row>
    <row r="210" spans="6:6" ht="15.75" customHeight="1" x14ac:dyDescent="0.35">
      <c r="F210" s="864"/>
    </row>
    <row r="211" spans="6:6" ht="15.75" customHeight="1" x14ac:dyDescent="0.35">
      <c r="F211" s="864"/>
    </row>
    <row r="212" spans="6:6" ht="15.75" customHeight="1" x14ac:dyDescent="0.35">
      <c r="F212" s="864"/>
    </row>
    <row r="213" spans="6:6" ht="15.75" customHeight="1" x14ac:dyDescent="0.35">
      <c r="F213" s="864"/>
    </row>
    <row r="214" spans="6:6" ht="15.75" customHeight="1" x14ac:dyDescent="0.35">
      <c r="F214" s="864"/>
    </row>
    <row r="215" spans="6:6" ht="15.75" customHeight="1" x14ac:dyDescent="0.35">
      <c r="F215" s="864"/>
    </row>
    <row r="216" spans="6:6" ht="15.75" customHeight="1" x14ac:dyDescent="0.35">
      <c r="F216" s="864"/>
    </row>
    <row r="217" spans="6:6" ht="15.75" customHeight="1" x14ac:dyDescent="0.35">
      <c r="F217" s="864"/>
    </row>
    <row r="218" spans="6:6" ht="15.75" customHeight="1" x14ac:dyDescent="0.35">
      <c r="F218" s="864"/>
    </row>
    <row r="219" spans="6:6" ht="15.75" customHeight="1" x14ac:dyDescent="0.35">
      <c r="F219" s="864"/>
    </row>
    <row r="220" spans="6:6" ht="15.75" customHeight="1" x14ac:dyDescent="0.35">
      <c r="F220" s="864"/>
    </row>
    <row r="221" spans="6:6" ht="15.75" customHeight="1" x14ac:dyDescent="0.35">
      <c r="F221" s="864"/>
    </row>
    <row r="222" spans="6:6" ht="15.75" customHeight="1" x14ac:dyDescent="0.35">
      <c r="F222" s="864"/>
    </row>
    <row r="223" spans="6:6" ht="15.75" customHeight="1" x14ac:dyDescent="0.35">
      <c r="F223" s="864"/>
    </row>
    <row r="224" spans="6:6" ht="15.75" customHeight="1" x14ac:dyDescent="0.35">
      <c r="F224" s="864"/>
    </row>
    <row r="225" spans="6:6" ht="15.75" customHeight="1" x14ac:dyDescent="0.35">
      <c r="F225" s="864"/>
    </row>
    <row r="226" spans="6:6" ht="15.75" customHeight="1" x14ac:dyDescent="0.35">
      <c r="F226" s="864"/>
    </row>
    <row r="227" spans="6:6" ht="15.75" customHeight="1" x14ac:dyDescent="0.35">
      <c r="F227" s="864"/>
    </row>
    <row r="228" spans="6:6" ht="15.75" customHeight="1" x14ac:dyDescent="0.35">
      <c r="F228" s="864"/>
    </row>
    <row r="229" spans="6:6" ht="15.75" customHeight="1" x14ac:dyDescent="0.35">
      <c r="F229" s="864"/>
    </row>
    <row r="230" spans="6:6" ht="15.75" customHeight="1" x14ac:dyDescent="0.35">
      <c r="F230" s="864"/>
    </row>
    <row r="231" spans="6:6" ht="15.75" customHeight="1" x14ac:dyDescent="0.35">
      <c r="F231" s="864"/>
    </row>
    <row r="232" spans="6:6" ht="15.75" customHeight="1" x14ac:dyDescent="0.35">
      <c r="F232" s="864"/>
    </row>
    <row r="233" spans="6:6" ht="15.75" customHeight="1" x14ac:dyDescent="0.35">
      <c r="F233" s="864"/>
    </row>
    <row r="234" spans="6:6" ht="15.75" customHeight="1" x14ac:dyDescent="0.35">
      <c r="F234" s="864"/>
    </row>
    <row r="235" spans="6:6" ht="15.75" customHeight="1" x14ac:dyDescent="0.35">
      <c r="F235" s="864"/>
    </row>
    <row r="236" spans="6:6" ht="15.75" customHeight="1" x14ac:dyDescent="0.35">
      <c r="F236" s="864"/>
    </row>
    <row r="237" spans="6:6" ht="15.75" customHeight="1" x14ac:dyDescent="0.35"/>
    <row r="238" spans="6:6" ht="15.75" customHeight="1" x14ac:dyDescent="0.35"/>
    <row r="239" spans="6:6" ht="15.75" customHeight="1" x14ac:dyDescent="0.35"/>
    <row r="240" spans="6:6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</sheetData>
  <mergeCells count="5">
    <mergeCell ref="B21:C21"/>
    <mergeCell ref="B1:F2"/>
    <mergeCell ref="B4:F4"/>
    <mergeCell ref="B20:F20"/>
    <mergeCell ref="B5:C5"/>
  </mergeCell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Y1004"/>
  <sheetViews>
    <sheetView topLeftCell="A16" workbookViewId="0">
      <selection activeCell="W12" sqref="W12"/>
    </sheetView>
  </sheetViews>
  <sheetFormatPr defaultColWidth="14.453125" defaultRowHeight="15" customHeight="1" x14ac:dyDescent="0.35"/>
  <cols>
    <col min="1" max="1" width="3.26953125" customWidth="1"/>
    <col min="2" max="2" width="23.453125" customWidth="1"/>
    <col min="3" max="3" width="19.453125" customWidth="1"/>
    <col min="4" max="4" width="8.26953125" customWidth="1"/>
    <col min="5" max="5" width="12" customWidth="1"/>
    <col min="6" max="6" width="10" customWidth="1"/>
    <col min="7" max="11" width="9.1796875" customWidth="1"/>
    <col min="12" max="13" width="9.453125" customWidth="1"/>
    <col min="14" max="16" width="9.1796875" customWidth="1"/>
    <col min="17" max="18" width="8.81640625" customWidth="1"/>
    <col min="19" max="19" width="9.1796875" customWidth="1"/>
    <col min="20" max="20" width="9.81640625" customWidth="1"/>
    <col min="21" max="21" width="5.1796875" customWidth="1"/>
    <col min="22" max="22" width="7" customWidth="1"/>
    <col min="23" max="23" width="8.1796875" customWidth="1"/>
    <col min="24" max="24" width="11.453125" customWidth="1"/>
  </cols>
  <sheetData>
    <row r="1" spans="2:25" ht="14.5" x14ac:dyDescent="0.35">
      <c r="B1" s="1039" t="s">
        <v>109</v>
      </c>
      <c r="C1" s="1040"/>
      <c r="D1" s="1040"/>
      <c r="E1" s="1040"/>
      <c r="F1" s="1040"/>
    </row>
    <row r="2" spans="2:25" ht="14.5" x14ac:dyDescent="0.35">
      <c r="B2" s="1041"/>
      <c r="C2" s="1042"/>
      <c r="D2" s="1042"/>
      <c r="E2" s="1042"/>
      <c r="F2" s="1042"/>
      <c r="G2" s="77" t="s">
        <v>27</v>
      </c>
      <c r="H2" s="78" t="s">
        <v>2</v>
      </c>
      <c r="I2" s="135" t="s">
        <v>3</v>
      </c>
      <c r="J2" s="80" t="s">
        <v>4</v>
      </c>
      <c r="K2" s="136" t="s">
        <v>5</v>
      </c>
      <c r="L2" s="82" t="s">
        <v>6</v>
      </c>
      <c r="M2" s="83" t="s">
        <v>7</v>
      </c>
      <c r="N2" s="84" t="s">
        <v>8</v>
      </c>
      <c r="O2" s="85" t="s">
        <v>9</v>
      </c>
      <c r="P2" s="86" t="s">
        <v>10</v>
      </c>
      <c r="Q2" s="87" t="s">
        <v>11</v>
      </c>
      <c r="R2" s="88" t="s">
        <v>12</v>
      </c>
      <c r="S2" s="89" t="s">
        <v>13</v>
      </c>
      <c r="T2" s="90" t="s">
        <v>14</v>
      </c>
      <c r="U2" s="3"/>
      <c r="V2" s="3"/>
      <c r="W2" s="3"/>
      <c r="X2" s="91"/>
      <c r="Y2" s="91"/>
    </row>
    <row r="3" spans="2:25" ht="14.5" x14ac:dyDescent="0.35">
      <c r="B3" s="92" t="s">
        <v>15</v>
      </c>
      <c r="C3" s="93"/>
      <c r="D3" s="94" t="s">
        <v>17</v>
      </c>
      <c r="E3" s="94" t="s">
        <v>18</v>
      </c>
      <c r="F3" s="95" t="s">
        <v>19</v>
      </c>
      <c r="G3" s="96">
        <v>2</v>
      </c>
      <c r="H3" s="97">
        <v>5</v>
      </c>
      <c r="I3" s="137">
        <v>7</v>
      </c>
      <c r="J3" s="99">
        <v>10</v>
      </c>
      <c r="K3" s="138">
        <v>11</v>
      </c>
      <c r="L3" s="101">
        <v>12</v>
      </c>
      <c r="M3" s="102">
        <v>13</v>
      </c>
      <c r="N3" s="103">
        <v>16</v>
      </c>
      <c r="O3" s="104">
        <v>27</v>
      </c>
      <c r="P3" s="105">
        <v>69</v>
      </c>
      <c r="Q3" s="106">
        <v>76</v>
      </c>
      <c r="R3" s="107">
        <v>77</v>
      </c>
      <c r="S3" s="108">
        <v>79</v>
      </c>
      <c r="T3" s="109">
        <v>81</v>
      </c>
      <c r="U3" s="108" t="s">
        <v>20</v>
      </c>
      <c r="V3" s="108" t="s">
        <v>21</v>
      </c>
      <c r="W3" s="108" t="s">
        <v>22</v>
      </c>
      <c r="X3" s="110" t="s">
        <v>28</v>
      </c>
      <c r="Y3" s="91"/>
    </row>
    <row r="4" spans="2:25" ht="14.5" x14ac:dyDescent="0.35">
      <c r="B4" s="76"/>
      <c r="C4" s="76"/>
      <c r="D4" s="76"/>
      <c r="E4" s="76"/>
      <c r="F4" s="4"/>
      <c r="G4" s="3"/>
      <c r="H4" s="3"/>
      <c r="I4" s="3"/>
      <c r="J4" s="112"/>
      <c r="K4" s="3"/>
      <c r="L4" s="3"/>
      <c r="M4" s="3"/>
      <c r="N4" s="3"/>
      <c r="O4" s="3"/>
      <c r="P4" s="3"/>
      <c r="Q4" s="3"/>
      <c r="R4" s="3"/>
      <c r="S4" s="3"/>
      <c r="T4" s="112"/>
      <c r="U4" s="3"/>
      <c r="V4" s="3"/>
      <c r="W4" s="3"/>
      <c r="X4" s="91"/>
      <c r="Y4" s="91"/>
    </row>
    <row r="5" spans="2:25" ht="43.5" customHeight="1" x14ac:dyDescent="0.35">
      <c r="B5" s="1044" t="s">
        <v>989</v>
      </c>
      <c r="C5" s="1044"/>
      <c r="D5" s="890">
        <f>SUM(D6:D16)</f>
        <v>52</v>
      </c>
      <c r="E5" s="891" t="s">
        <v>988</v>
      </c>
      <c r="F5" s="892">
        <f>SUM(F6:F16)*0.95</f>
        <v>841.50999999999988</v>
      </c>
      <c r="G5" s="888"/>
      <c r="H5" s="170"/>
      <c r="I5" s="171"/>
      <c r="J5" s="172"/>
      <c r="K5" s="173"/>
      <c r="L5" s="174"/>
      <c r="M5" s="175"/>
      <c r="N5" s="176"/>
      <c r="O5" s="177"/>
      <c r="P5" s="178"/>
      <c r="Q5" s="179"/>
      <c r="R5" s="180"/>
      <c r="S5" s="181"/>
      <c r="T5" s="182"/>
      <c r="U5" s="183">
        <f t="shared" ref="U5" si="0">SUM(G5:T5)</f>
        <v>0</v>
      </c>
      <c r="V5" s="183">
        <f t="shared" ref="V5:V10" si="1">U5*D5</f>
        <v>0</v>
      </c>
      <c r="W5" s="184">
        <f>U5* 0</f>
        <v>0</v>
      </c>
      <c r="X5" s="185">
        <f t="shared" ref="X5" si="2">U5*F5</f>
        <v>0</v>
      </c>
      <c r="Y5" s="871"/>
    </row>
    <row r="6" spans="2:25" ht="111" customHeight="1" x14ac:dyDescent="0.35">
      <c r="B6" s="557" t="s">
        <v>110</v>
      </c>
      <c r="C6" s="870"/>
      <c r="D6" s="557">
        <v>6</v>
      </c>
      <c r="E6" s="557" t="s">
        <v>111</v>
      </c>
      <c r="F6" s="889">
        <v>64.89</v>
      </c>
      <c r="G6" s="169"/>
      <c r="H6" s="170"/>
      <c r="I6" s="171"/>
      <c r="J6" s="172"/>
      <c r="K6" s="173"/>
      <c r="L6" s="174"/>
      <c r="M6" s="175"/>
      <c r="N6" s="176"/>
      <c r="O6" s="177"/>
      <c r="P6" s="178"/>
      <c r="Q6" s="179"/>
      <c r="R6" s="180"/>
      <c r="S6" s="181"/>
      <c r="T6" s="182"/>
      <c r="U6" s="183">
        <f t="shared" ref="U6:U16" si="3">SUM(G6:T6)</f>
        <v>0</v>
      </c>
      <c r="V6" s="183">
        <f t="shared" si="1"/>
        <v>0</v>
      </c>
      <c r="W6" s="184">
        <f>U6* 2.44</f>
        <v>0</v>
      </c>
      <c r="X6" s="185">
        <f t="shared" ref="X6:X10" si="4">U6*F6</f>
        <v>0</v>
      </c>
      <c r="Y6" s="91"/>
    </row>
    <row r="7" spans="2:25" ht="98.25" customHeight="1" x14ac:dyDescent="0.35">
      <c r="B7" s="40" t="s">
        <v>112</v>
      </c>
      <c r="C7" s="114"/>
      <c r="D7" s="40">
        <v>10</v>
      </c>
      <c r="E7" s="40" t="s">
        <v>113</v>
      </c>
      <c r="F7" s="168">
        <v>75.19</v>
      </c>
      <c r="G7" s="169"/>
      <c r="H7" s="170"/>
      <c r="I7" s="171"/>
      <c r="J7" s="186"/>
      <c r="K7" s="173"/>
      <c r="L7" s="174"/>
      <c r="M7" s="175"/>
      <c r="N7" s="176"/>
      <c r="O7" s="177"/>
      <c r="P7" s="178"/>
      <c r="Q7" s="179"/>
      <c r="R7" s="180"/>
      <c r="S7" s="181"/>
      <c r="T7" s="182"/>
      <c r="U7" s="183">
        <f t="shared" si="3"/>
        <v>0</v>
      </c>
      <c r="V7" s="183">
        <f t="shared" si="1"/>
        <v>0</v>
      </c>
      <c r="W7" s="184">
        <f>U7* 2.5</f>
        <v>0</v>
      </c>
      <c r="X7" s="185">
        <f t="shared" si="4"/>
        <v>0</v>
      </c>
      <c r="Y7" s="91"/>
    </row>
    <row r="8" spans="2:25" ht="98.25" customHeight="1" x14ac:dyDescent="0.35">
      <c r="B8" s="40" t="s">
        <v>114</v>
      </c>
      <c r="C8" s="114"/>
      <c r="D8" s="40">
        <v>10</v>
      </c>
      <c r="E8" s="40" t="s">
        <v>115</v>
      </c>
      <c r="F8" s="168">
        <v>118.45</v>
      </c>
      <c r="G8" s="169"/>
      <c r="H8" s="170"/>
      <c r="I8" s="171"/>
      <c r="J8" s="186"/>
      <c r="K8" s="173"/>
      <c r="L8" s="174"/>
      <c r="M8" s="175"/>
      <c r="N8" s="176"/>
      <c r="O8" s="177"/>
      <c r="P8" s="178"/>
      <c r="Q8" s="179"/>
      <c r="R8" s="180"/>
      <c r="S8" s="181"/>
      <c r="T8" s="182"/>
      <c r="U8" s="183">
        <f t="shared" si="3"/>
        <v>0</v>
      </c>
      <c r="V8" s="183">
        <f t="shared" si="1"/>
        <v>0</v>
      </c>
      <c r="W8" s="184">
        <f>U8* 4.8</f>
        <v>0</v>
      </c>
      <c r="X8" s="185">
        <f t="shared" si="4"/>
        <v>0</v>
      </c>
      <c r="Y8" s="91"/>
    </row>
    <row r="9" spans="2:25" ht="98.25" customHeight="1" x14ac:dyDescent="0.35">
      <c r="B9" s="40" t="s">
        <v>116</v>
      </c>
      <c r="C9" s="114"/>
      <c r="D9" s="40">
        <v>3</v>
      </c>
      <c r="E9" s="40" t="s">
        <v>117</v>
      </c>
      <c r="F9" s="168">
        <v>58.71</v>
      </c>
      <c r="G9" s="169"/>
      <c r="H9" s="170"/>
      <c r="I9" s="171"/>
      <c r="J9" s="186"/>
      <c r="K9" s="173"/>
      <c r="L9" s="174"/>
      <c r="M9" s="175"/>
      <c r="N9" s="176"/>
      <c r="O9" s="177"/>
      <c r="P9" s="178"/>
      <c r="Q9" s="179"/>
      <c r="R9" s="180"/>
      <c r="S9" s="181"/>
      <c r="T9" s="182"/>
      <c r="U9" s="183">
        <f t="shared" si="3"/>
        <v>0</v>
      </c>
      <c r="V9" s="183">
        <f t="shared" si="1"/>
        <v>0</v>
      </c>
      <c r="W9" s="184">
        <f>U9* 2.52</f>
        <v>0</v>
      </c>
      <c r="X9" s="185">
        <f t="shared" si="4"/>
        <v>0</v>
      </c>
      <c r="Y9" s="91"/>
    </row>
    <row r="10" spans="2:25" ht="102" customHeight="1" x14ac:dyDescent="0.35">
      <c r="B10" s="40" t="s">
        <v>118</v>
      </c>
      <c r="C10" s="114"/>
      <c r="D10" s="40">
        <v>3</v>
      </c>
      <c r="E10" s="40" t="s">
        <v>119</v>
      </c>
      <c r="F10" s="168">
        <v>62.83</v>
      </c>
      <c r="G10" s="169"/>
      <c r="H10" s="170"/>
      <c r="I10" s="171"/>
      <c r="J10" s="186"/>
      <c r="K10" s="173"/>
      <c r="L10" s="174"/>
      <c r="M10" s="175"/>
      <c r="N10" s="176"/>
      <c r="O10" s="177"/>
      <c r="P10" s="178"/>
      <c r="Q10" s="179"/>
      <c r="R10" s="180"/>
      <c r="S10" s="181"/>
      <c r="T10" s="182"/>
      <c r="U10" s="183">
        <f t="shared" si="3"/>
        <v>0</v>
      </c>
      <c r="V10" s="183">
        <f t="shared" si="1"/>
        <v>0</v>
      </c>
      <c r="W10" s="184">
        <f>U10* 2.63</f>
        <v>0</v>
      </c>
      <c r="X10" s="185">
        <f t="shared" si="4"/>
        <v>0</v>
      </c>
      <c r="Y10" s="91"/>
    </row>
    <row r="11" spans="2:25" ht="102" customHeight="1" x14ac:dyDescent="0.35">
      <c r="B11" s="40" t="s">
        <v>120</v>
      </c>
      <c r="C11" s="143"/>
      <c r="D11" s="40">
        <v>3</v>
      </c>
      <c r="E11" s="40" t="s">
        <v>121</v>
      </c>
      <c r="F11" s="168">
        <v>57.68</v>
      </c>
      <c r="G11" s="187"/>
      <c r="H11" s="188"/>
      <c r="I11" s="189"/>
      <c r="J11" s="190"/>
      <c r="K11" s="191"/>
      <c r="L11" s="192"/>
      <c r="M11" s="193"/>
      <c r="N11" s="194"/>
      <c r="O11" s="195"/>
      <c r="P11" s="196"/>
      <c r="Q11" s="197"/>
      <c r="R11" s="198"/>
      <c r="S11" s="199"/>
      <c r="T11" s="200"/>
      <c r="U11" s="201">
        <f t="shared" si="3"/>
        <v>0</v>
      </c>
      <c r="V11" s="201">
        <f>D11*U11</f>
        <v>0</v>
      </c>
      <c r="W11" s="184">
        <f>U11* 2.35</f>
        <v>0</v>
      </c>
      <c r="X11" s="202">
        <f>F11*U11</f>
        <v>0</v>
      </c>
      <c r="Y11" s="91"/>
    </row>
    <row r="12" spans="2:25" ht="94.5" customHeight="1" x14ac:dyDescent="0.35">
      <c r="B12" s="40" t="s">
        <v>122</v>
      </c>
      <c r="C12" s="114"/>
      <c r="D12" s="40">
        <v>3</v>
      </c>
      <c r="E12" s="40" t="s">
        <v>123</v>
      </c>
      <c r="F12" s="168">
        <v>66.95</v>
      </c>
      <c r="G12" s="169"/>
      <c r="H12" s="170"/>
      <c r="I12" s="171"/>
      <c r="J12" s="186"/>
      <c r="K12" s="173"/>
      <c r="L12" s="174"/>
      <c r="M12" s="175"/>
      <c r="N12" s="176"/>
      <c r="O12" s="177"/>
      <c r="P12" s="178"/>
      <c r="Q12" s="179"/>
      <c r="R12" s="180"/>
      <c r="S12" s="181"/>
      <c r="T12" s="182"/>
      <c r="U12" s="183">
        <f t="shared" si="3"/>
        <v>0</v>
      </c>
      <c r="V12" s="183">
        <f>U12*D12</f>
        <v>0</v>
      </c>
      <c r="W12" s="184">
        <f>U12* 2.83</f>
        <v>0</v>
      </c>
      <c r="X12" s="185">
        <f>U12*F12</f>
        <v>0</v>
      </c>
      <c r="Y12" s="91"/>
    </row>
    <row r="13" spans="2:25" ht="97.5" customHeight="1" x14ac:dyDescent="0.35">
      <c r="B13" s="164" t="s">
        <v>124</v>
      </c>
      <c r="C13" s="165"/>
      <c r="D13" s="113">
        <v>5</v>
      </c>
      <c r="E13" s="113" t="s">
        <v>125</v>
      </c>
      <c r="F13" s="41">
        <v>91.67</v>
      </c>
      <c r="G13" s="169"/>
      <c r="H13" s="170"/>
      <c r="I13" s="171"/>
      <c r="J13" s="186"/>
      <c r="K13" s="173"/>
      <c r="L13" s="174"/>
      <c r="M13" s="175"/>
      <c r="N13" s="176"/>
      <c r="O13" s="177"/>
      <c r="P13" s="178"/>
      <c r="Q13" s="179"/>
      <c r="R13" s="180"/>
      <c r="S13" s="181"/>
      <c r="T13" s="182"/>
      <c r="U13" s="183">
        <f t="shared" si="3"/>
        <v>0</v>
      </c>
      <c r="V13" s="183">
        <f>D13*U13</f>
        <v>0</v>
      </c>
      <c r="W13" s="184">
        <f>U13*3.9</f>
        <v>0</v>
      </c>
      <c r="X13" s="203">
        <f t="shared" ref="X13:X16" si="5">F13*U13</f>
        <v>0</v>
      </c>
      <c r="Y13" s="91"/>
    </row>
    <row r="14" spans="2:25" ht="95.25" customHeight="1" x14ac:dyDescent="0.35">
      <c r="B14" s="163" t="s">
        <v>126</v>
      </c>
      <c r="C14" s="143"/>
      <c r="D14" s="144">
        <v>3</v>
      </c>
      <c r="E14" s="144" t="s">
        <v>127</v>
      </c>
      <c r="F14" s="145">
        <v>85.490000000000009</v>
      </c>
      <c r="G14" s="187"/>
      <c r="H14" s="188"/>
      <c r="I14" s="189"/>
      <c r="J14" s="190"/>
      <c r="K14" s="191"/>
      <c r="L14" s="192"/>
      <c r="M14" s="193"/>
      <c r="N14" s="194"/>
      <c r="O14" s="195"/>
      <c r="P14" s="196"/>
      <c r="Q14" s="197"/>
      <c r="R14" s="198"/>
      <c r="S14" s="199"/>
      <c r="T14" s="200"/>
      <c r="U14" s="183">
        <f t="shared" si="3"/>
        <v>0</v>
      </c>
      <c r="V14" s="183">
        <f>D14*U14</f>
        <v>0</v>
      </c>
      <c r="W14" s="184"/>
      <c r="X14" s="203">
        <f t="shared" si="5"/>
        <v>0</v>
      </c>
      <c r="Y14" s="91"/>
    </row>
    <row r="15" spans="2:25" ht="92.25" customHeight="1" x14ac:dyDescent="0.35">
      <c r="B15" s="163" t="s">
        <v>128</v>
      </c>
      <c r="C15" s="143"/>
      <c r="D15" s="144">
        <v>3</v>
      </c>
      <c r="E15" s="144" t="s">
        <v>129</v>
      </c>
      <c r="F15" s="145">
        <v>100.94</v>
      </c>
      <c r="G15" s="187"/>
      <c r="H15" s="188"/>
      <c r="I15" s="189"/>
      <c r="J15" s="190"/>
      <c r="K15" s="191"/>
      <c r="L15" s="192"/>
      <c r="M15" s="193"/>
      <c r="N15" s="194"/>
      <c r="O15" s="195"/>
      <c r="P15" s="196"/>
      <c r="Q15" s="197"/>
      <c r="R15" s="198"/>
      <c r="S15" s="199"/>
      <c r="T15" s="200"/>
      <c r="U15" s="201">
        <f t="shared" si="3"/>
        <v>0</v>
      </c>
      <c r="V15" s="201">
        <f>D15*U15</f>
        <v>0</v>
      </c>
      <c r="W15" s="201"/>
      <c r="X15" s="202">
        <f t="shared" si="5"/>
        <v>0</v>
      </c>
      <c r="Y15" s="91"/>
    </row>
    <row r="16" spans="2:25" ht="95.25" customHeight="1" x14ac:dyDescent="0.35">
      <c r="B16" s="164" t="s">
        <v>130</v>
      </c>
      <c r="C16" s="165"/>
      <c r="D16" s="113">
        <v>3</v>
      </c>
      <c r="E16" s="113" t="s">
        <v>131</v>
      </c>
      <c r="F16" s="41">
        <v>103</v>
      </c>
      <c r="G16" s="169"/>
      <c r="H16" s="170"/>
      <c r="I16" s="171"/>
      <c r="J16" s="186"/>
      <c r="K16" s="173"/>
      <c r="L16" s="174"/>
      <c r="M16" s="175"/>
      <c r="N16" s="176"/>
      <c r="O16" s="177"/>
      <c r="P16" s="178"/>
      <c r="Q16" s="179"/>
      <c r="R16" s="180"/>
      <c r="S16" s="181"/>
      <c r="T16" s="182"/>
      <c r="U16" s="183">
        <f t="shared" si="3"/>
        <v>0</v>
      </c>
      <c r="V16" s="183">
        <f>D16*U16</f>
        <v>0</v>
      </c>
      <c r="W16" s="183"/>
      <c r="X16" s="203">
        <f t="shared" si="5"/>
        <v>0</v>
      </c>
      <c r="Y16" s="91"/>
    </row>
    <row r="17" spans="2:25" ht="15.75" customHeight="1" x14ac:dyDescent="0.35">
      <c r="F17" s="1"/>
      <c r="G17" s="74">
        <f>SUM(G5:G16)</f>
        <v>0</v>
      </c>
      <c r="H17" s="74">
        <f t="shared" ref="H17:T17" si="6">SUM(H5:H16)</f>
        <v>0</v>
      </c>
      <c r="I17" s="74">
        <f t="shared" si="6"/>
        <v>0</v>
      </c>
      <c r="J17" s="74">
        <f t="shared" si="6"/>
        <v>0</v>
      </c>
      <c r="K17" s="74">
        <f t="shared" si="6"/>
        <v>0</v>
      </c>
      <c r="L17" s="74">
        <f t="shared" si="6"/>
        <v>0</v>
      </c>
      <c r="M17" s="74">
        <f t="shared" si="6"/>
        <v>0</v>
      </c>
      <c r="N17" s="74">
        <f t="shared" si="6"/>
        <v>0</v>
      </c>
      <c r="O17" s="74">
        <f t="shared" si="6"/>
        <v>0</v>
      </c>
      <c r="P17" s="74">
        <f t="shared" si="6"/>
        <v>0</v>
      </c>
      <c r="Q17" s="74">
        <f t="shared" si="6"/>
        <v>0</v>
      </c>
      <c r="R17" s="74">
        <f t="shared" si="6"/>
        <v>0</v>
      </c>
      <c r="S17" s="74">
        <f t="shared" si="6"/>
        <v>0</v>
      </c>
      <c r="T17" s="74">
        <f t="shared" si="6"/>
        <v>0</v>
      </c>
      <c r="U17" s="74">
        <f>SUM(U5:U16)</f>
        <v>0</v>
      </c>
      <c r="V17" s="74">
        <f t="shared" ref="V17:W17" si="7">SUM(V5:V16)</f>
        <v>0</v>
      </c>
      <c r="W17" s="74">
        <f t="shared" si="7"/>
        <v>0</v>
      </c>
      <c r="X17" s="75">
        <f>SUM(X5:X16)</f>
        <v>0</v>
      </c>
      <c r="Y17" s="91"/>
    </row>
    <row r="18" spans="2:25" ht="15.75" customHeight="1" x14ac:dyDescent="0.35"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</row>
    <row r="20" spans="2:25" ht="15.75" customHeight="1" x14ac:dyDescent="0.35">
      <c r="F20" s="1"/>
    </row>
    <row r="21" spans="2:25" ht="15.75" customHeight="1" x14ac:dyDescent="0.35">
      <c r="B21" s="133"/>
      <c r="J21" s="133"/>
    </row>
    <row r="22" spans="2:25" ht="15.75" customHeight="1" x14ac:dyDescent="0.35"/>
    <row r="23" spans="2:25" ht="15.75" customHeight="1" x14ac:dyDescent="0.35"/>
    <row r="24" spans="2:25" ht="15.75" customHeight="1" x14ac:dyDescent="0.35"/>
    <row r="25" spans="2:25" ht="15.75" customHeight="1" x14ac:dyDescent="0.35"/>
    <row r="26" spans="2:25" ht="15.75" customHeight="1" x14ac:dyDescent="0.35"/>
    <row r="27" spans="2:25" ht="15.75" customHeight="1" x14ac:dyDescent="0.35"/>
    <row r="28" spans="2:25" ht="15.75" customHeight="1" x14ac:dyDescent="0.35"/>
    <row r="29" spans="2:25" ht="15.75" customHeight="1" x14ac:dyDescent="0.35"/>
    <row r="30" spans="2:25" ht="15.75" customHeight="1" x14ac:dyDescent="0.35"/>
    <row r="31" spans="2:25" ht="15.75" customHeight="1" x14ac:dyDescent="0.35"/>
    <row r="32" spans="2:25" ht="15.75" customHeight="1" x14ac:dyDescent="0.35"/>
    <row r="33" spans="6:6" ht="15.75" customHeight="1" x14ac:dyDescent="0.35"/>
    <row r="34" spans="6:6" ht="15.75" customHeight="1" x14ac:dyDescent="0.35"/>
    <row r="35" spans="6:6" ht="15.75" customHeight="1" x14ac:dyDescent="0.35"/>
    <row r="36" spans="6:6" ht="15.75" customHeight="1" x14ac:dyDescent="0.35"/>
    <row r="37" spans="6:6" ht="15.75" customHeight="1" x14ac:dyDescent="0.35">
      <c r="F37" s="1"/>
    </row>
    <row r="38" spans="6:6" ht="15.75" customHeight="1" x14ac:dyDescent="0.35">
      <c r="F38" s="1"/>
    </row>
    <row r="39" spans="6:6" ht="15.75" customHeight="1" x14ac:dyDescent="0.35">
      <c r="F39" s="1"/>
    </row>
    <row r="40" spans="6:6" ht="15.75" customHeight="1" x14ac:dyDescent="0.35">
      <c r="F40" s="1"/>
    </row>
    <row r="41" spans="6:6" ht="15.75" customHeight="1" x14ac:dyDescent="0.35">
      <c r="F41" s="1"/>
    </row>
    <row r="42" spans="6:6" ht="15.75" customHeight="1" x14ac:dyDescent="0.35">
      <c r="F42" s="1"/>
    </row>
    <row r="43" spans="6:6" ht="15.75" customHeight="1" x14ac:dyDescent="0.35">
      <c r="F43" s="1"/>
    </row>
    <row r="44" spans="6:6" ht="15.75" customHeight="1" x14ac:dyDescent="0.35">
      <c r="F44" s="1"/>
    </row>
    <row r="45" spans="6:6" ht="15.75" customHeight="1" x14ac:dyDescent="0.35">
      <c r="F45" s="1"/>
    </row>
    <row r="46" spans="6:6" ht="15.75" customHeight="1" x14ac:dyDescent="0.35">
      <c r="F46" s="1"/>
    </row>
    <row r="47" spans="6:6" ht="15.75" customHeight="1" x14ac:dyDescent="0.35">
      <c r="F47" s="1"/>
    </row>
    <row r="48" spans="6:6" ht="15.75" customHeight="1" x14ac:dyDescent="0.35">
      <c r="F48" s="1"/>
    </row>
    <row r="49" spans="6:6" ht="15.75" customHeight="1" x14ac:dyDescent="0.35">
      <c r="F49" s="1"/>
    </row>
    <row r="50" spans="6:6" ht="15.75" customHeight="1" x14ac:dyDescent="0.35">
      <c r="F50" s="1"/>
    </row>
    <row r="51" spans="6:6" ht="15.75" customHeight="1" x14ac:dyDescent="0.35">
      <c r="F51" s="1"/>
    </row>
    <row r="52" spans="6:6" ht="15.75" customHeight="1" x14ac:dyDescent="0.35">
      <c r="F52" s="1"/>
    </row>
    <row r="53" spans="6:6" ht="15.75" customHeight="1" x14ac:dyDescent="0.35">
      <c r="F53" s="1"/>
    </row>
    <row r="54" spans="6:6" ht="15.75" customHeight="1" x14ac:dyDescent="0.35">
      <c r="F54" s="1"/>
    </row>
    <row r="55" spans="6:6" ht="15.75" customHeight="1" x14ac:dyDescent="0.35">
      <c r="F55" s="1"/>
    </row>
    <row r="56" spans="6:6" ht="15.75" customHeight="1" x14ac:dyDescent="0.35">
      <c r="F56" s="1"/>
    </row>
    <row r="57" spans="6:6" ht="15.75" customHeight="1" x14ac:dyDescent="0.35">
      <c r="F57" s="1"/>
    </row>
    <row r="58" spans="6:6" ht="15.75" customHeight="1" x14ac:dyDescent="0.35">
      <c r="F58" s="1"/>
    </row>
    <row r="59" spans="6:6" ht="15.75" customHeight="1" x14ac:dyDescent="0.35">
      <c r="F59" s="1"/>
    </row>
    <row r="60" spans="6:6" ht="15.75" customHeight="1" x14ac:dyDescent="0.35">
      <c r="F60" s="1"/>
    </row>
    <row r="61" spans="6:6" ht="15.75" customHeight="1" x14ac:dyDescent="0.35">
      <c r="F61" s="1"/>
    </row>
    <row r="62" spans="6:6" ht="15.75" customHeight="1" x14ac:dyDescent="0.35">
      <c r="F62" s="1"/>
    </row>
    <row r="63" spans="6:6" ht="15.75" customHeight="1" x14ac:dyDescent="0.35">
      <c r="F63" s="1"/>
    </row>
    <row r="64" spans="6:6" ht="15.75" customHeight="1" x14ac:dyDescent="0.35">
      <c r="F64" s="1"/>
    </row>
    <row r="65" spans="6:6" ht="15.75" customHeight="1" x14ac:dyDescent="0.35">
      <c r="F65" s="1"/>
    </row>
    <row r="66" spans="6:6" ht="15.75" customHeight="1" x14ac:dyDescent="0.35">
      <c r="F66" s="1"/>
    </row>
    <row r="67" spans="6:6" ht="15.75" customHeight="1" x14ac:dyDescent="0.35">
      <c r="F67" s="1"/>
    </row>
    <row r="68" spans="6:6" ht="15.75" customHeight="1" x14ac:dyDescent="0.35">
      <c r="F68" s="1"/>
    </row>
    <row r="69" spans="6:6" ht="15.75" customHeight="1" x14ac:dyDescent="0.35">
      <c r="F69" s="1"/>
    </row>
    <row r="70" spans="6:6" ht="15.75" customHeight="1" x14ac:dyDescent="0.35">
      <c r="F70" s="1"/>
    </row>
    <row r="71" spans="6:6" ht="15.75" customHeight="1" x14ac:dyDescent="0.35">
      <c r="F71" s="1"/>
    </row>
    <row r="72" spans="6:6" ht="15.75" customHeight="1" x14ac:dyDescent="0.35">
      <c r="F72" s="1"/>
    </row>
    <row r="73" spans="6:6" ht="15.75" customHeight="1" x14ac:dyDescent="0.35">
      <c r="F73" s="1"/>
    </row>
    <row r="74" spans="6:6" ht="15.75" customHeight="1" x14ac:dyDescent="0.35">
      <c r="F74" s="1"/>
    </row>
    <row r="75" spans="6:6" ht="15.75" customHeight="1" x14ac:dyDescent="0.35">
      <c r="F75" s="1"/>
    </row>
    <row r="76" spans="6:6" ht="15.75" customHeight="1" x14ac:dyDescent="0.35">
      <c r="F76" s="1"/>
    </row>
    <row r="77" spans="6:6" ht="15.75" customHeight="1" x14ac:dyDescent="0.35">
      <c r="F77" s="1"/>
    </row>
    <row r="78" spans="6:6" ht="15.75" customHeight="1" x14ac:dyDescent="0.35">
      <c r="F78" s="1"/>
    </row>
    <row r="79" spans="6:6" ht="15.75" customHeight="1" x14ac:dyDescent="0.35">
      <c r="F79" s="1"/>
    </row>
    <row r="80" spans="6:6" ht="15.75" customHeight="1" x14ac:dyDescent="0.35">
      <c r="F80" s="1"/>
    </row>
    <row r="81" spans="6:6" ht="15.75" customHeight="1" x14ac:dyDescent="0.35">
      <c r="F81" s="1"/>
    </row>
    <row r="82" spans="6:6" ht="15.75" customHeight="1" x14ac:dyDescent="0.35">
      <c r="F82" s="1"/>
    </row>
    <row r="83" spans="6:6" ht="15.75" customHeight="1" x14ac:dyDescent="0.35">
      <c r="F83" s="1"/>
    </row>
    <row r="84" spans="6:6" ht="15.75" customHeight="1" x14ac:dyDescent="0.35">
      <c r="F84" s="1"/>
    </row>
    <row r="85" spans="6:6" ht="15.75" customHeight="1" x14ac:dyDescent="0.35">
      <c r="F85" s="1"/>
    </row>
    <row r="86" spans="6:6" ht="15.75" customHeight="1" x14ac:dyDescent="0.35">
      <c r="F86" s="1"/>
    </row>
    <row r="87" spans="6:6" ht="15.75" customHeight="1" x14ac:dyDescent="0.35">
      <c r="F87" s="1"/>
    </row>
    <row r="88" spans="6:6" ht="15.75" customHeight="1" x14ac:dyDescent="0.35">
      <c r="F88" s="1"/>
    </row>
    <row r="89" spans="6:6" ht="15.75" customHeight="1" x14ac:dyDescent="0.35">
      <c r="F89" s="1"/>
    </row>
    <row r="90" spans="6:6" ht="15.75" customHeight="1" x14ac:dyDescent="0.35">
      <c r="F90" s="1"/>
    </row>
    <row r="91" spans="6:6" ht="15.75" customHeight="1" x14ac:dyDescent="0.35">
      <c r="F91" s="1"/>
    </row>
    <row r="92" spans="6:6" ht="15.75" customHeight="1" x14ac:dyDescent="0.35">
      <c r="F92" s="1"/>
    </row>
    <row r="93" spans="6:6" ht="15.75" customHeight="1" x14ac:dyDescent="0.35">
      <c r="F93" s="1"/>
    </row>
    <row r="94" spans="6:6" ht="15.75" customHeight="1" x14ac:dyDescent="0.35">
      <c r="F94" s="1"/>
    </row>
    <row r="95" spans="6:6" ht="15.75" customHeight="1" x14ac:dyDescent="0.35">
      <c r="F95" s="1"/>
    </row>
    <row r="96" spans="6:6" ht="15.75" customHeight="1" x14ac:dyDescent="0.35">
      <c r="F96" s="1"/>
    </row>
    <row r="97" spans="6:6" ht="15.75" customHeight="1" x14ac:dyDescent="0.35">
      <c r="F97" s="1"/>
    </row>
    <row r="98" spans="6:6" ht="15.75" customHeight="1" x14ac:dyDescent="0.35">
      <c r="F98" s="1"/>
    </row>
    <row r="99" spans="6:6" ht="15.75" customHeight="1" x14ac:dyDescent="0.35">
      <c r="F99" s="1"/>
    </row>
    <row r="100" spans="6:6" ht="15.75" customHeight="1" x14ac:dyDescent="0.35">
      <c r="F100" s="1"/>
    </row>
    <row r="101" spans="6:6" ht="15.75" customHeight="1" x14ac:dyDescent="0.35">
      <c r="F101" s="1"/>
    </row>
    <row r="102" spans="6:6" ht="15.75" customHeight="1" x14ac:dyDescent="0.35">
      <c r="F102" s="1"/>
    </row>
    <row r="103" spans="6:6" ht="15.75" customHeight="1" x14ac:dyDescent="0.35">
      <c r="F103" s="1"/>
    </row>
    <row r="104" spans="6:6" ht="15.75" customHeight="1" x14ac:dyDescent="0.35">
      <c r="F104" s="1"/>
    </row>
    <row r="105" spans="6:6" ht="15.75" customHeight="1" x14ac:dyDescent="0.35">
      <c r="F105" s="1"/>
    </row>
    <row r="106" spans="6:6" ht="15.75" customHeight="1" x14ac:dyDescent="0.35">
      <c r="F106" s="1"/>
    </row>
    <row r="107" spans="6:6" ht="15.75" customHeight="1" x14ac:dyDescent="0.35">
      <c r="F107" s="1"/>
    </row>
    <row r="108" spans="6:6" ht="15.75" customHeight="1" x14ac:dyDescent="0.35">
      <c r="F108" s="1"/>
    </row>
    <row r="109" spans="6:6" ht="15.75" customHeight="1" x14ac:dyDescent="0.35">
      <c r="F109" s="1"/>
    </row>
    <row r="110" spans="6:6" ht="15.75" customHeight="1" x14ac:dyDescent="0.35">
      <c r="F110" s="1"/>
    </row>
    <row r="111" spans="6:6" ht="15.75" customHeight="1" x14ac:dyDescent="0.35">
      <c r="F111" s="1"/>
    </row>
    <row r="112" spans="6:6" ht="15.75" customHeight="1" x14ac:dyDescent="0.35">
      <c r="F112" s="1"/>
    </row>
    <row r="113" spans="6:6" ht="15.75" customHeight="1" x14ac:dyDescent="0.35">
      <c r="F113" s="1"/>
    </row>
    <row r="114" spans="6:6" ht="15.75" customHeight="1" x14ac:dyDescent="0.35">
      <c r="F114" s="1"/>
    </row>
    <row r="115" spans="6:6" ht="15.75" customHeight="1" x14ac:dyDescent="0.35">
      <c r="F115" s="1"/>
    </row>
    <row r="116" spans="6:6" ht="15.75" customHeight="1" x14ac:dyDescent="0.35">
      <c r="F116" s="1"/>
    </row>
    <row r="117" spans="6:6" ht="15.75" customHeight="1" x14ac:dyDescent="0.35">
      <c r="F117" s="1"/>
    </row>
    <row r="118" spans="6:6" ht="15.75" customHeight="1" x14ac:dyDescent="0.35">
      <c r="F118" s="1"/>
    </row>
    <row r="119" spans="6:6" ht="15.75" customHeight="1" x14ac:dyDescent="0.35">
      <c r="F119" s="1"/>
    </row>
    <row r="120" spans="6:6" ht="15.75" customHeight="1" x14ac:dyDescent="0.35">
      <c r="F120" s="1"/>
    </row>
    <row r="121" spans="6:6" ht="15.75" customHeight="1" x14ac:dyDescent="0.35">
      <c r="F121" s="1"/>
    </row>
    <row r="122" spans="6:6" ht="15.75" customHeight="1" x14ac:dyDescent="0.35">
      <c r="F122" s="1"/>
    </row>
    <row r="123" spans="6:6" ht="15.75" customHeight="1" x14ac:dyDescent="0.35">
      <c r="F123" s="1"/>
    </row>
    <row r="124" spans="6:6" ht="15.75" customHeight="1" x14ac:dyDescent="0.35">
      <c r="F124" s="1"/>
    </row>
    <row r="125" spans="6:6" ht="15.75" customHeight="1" x14ac:dyDescent="0.35">
      <c r="F125" s="1"/>
    </row>
    <row r="126" spans="6:6" ht="15.75" customHeight="1" x14ac:dyDescent="0.35">
      <c r="F126" s="1"/>
    </row>
    <row r="127" spans="6:6" ht="15.75" customHeight="1" x14ac:dyDescent="0.35">
      <c r="F127" s="1"/>
    </row>
    <row r="128" spans="6:6" ht="15.75" customHeight="1" x14ac:dyDescent="0.35">
      <c r="F128" s="1"/>
    </row>
    <row r="129" spans="6:6" ht="15.75" customHeight="1" x14ac:dyDescent="0.35">
      <c r="F129" s="1"/>
    </row>
    <row r="130" spans="6:6" ht="15.75" customHeight="1" x14ac:dyDescent="0.35">
      <c r="F130" s="1"/>
    </row>
    <row r="131" spans="6:6" ht="15.75" customHeight="1" x14ac:dyDescent="0.35">
      <c r="F131" s="1"/>
    </row>
    <row r="132" spans="6:6" ht="15.75" customHeight="1" x14ac:dyDescent="0.35">
      <c r="F132" s="1"/>
    </row>
    <row r="133" spans="6:6" ht="15.75" customHeight="1" x14ac:dyDescent="0.35">
      <c r="F133" s="1"/>
    </row>
    <row r="134" spans="6:6" ht="15.75" customHeight="1" x14ac:dyDescent="0.35">
      <c r="F134" s="1"/>
    </row>
    <row r="135" spans="6:6" ht="15.75" customHeight="1" x14ac:dyDescent="0.35">
      <c r="F135" s="1"/>
    </row>
    <row r="136" spans="6:6" ht="15.75" customHeight="1" x14ac:dyDescent="0.35">
      <c r="F136" s="1"/>
    </row>
    <row r="137" spans="6:6" ht="15.75" customHeight="1" x14ac:dyDescent="0.35">
      <c r="F137" s="1"/>
    </row>
    <row r="138" spans="6:6" ht="15.75" customHeight="1" x14ac:dyDescent="0.35">
      <c r="F138" s="1"/>
    </row>
    <row r="139" spans="6:6" ht="15.75" customHeight="1" x14ac:dyDescent="0.35">
      <c r="F139" s="1"/>
    </row>
    <row r="140" spans="6:6" ht="15.75" customHeight="1" x14ac:dyDescent="0.35">
      <c r="F140" s="1"/>
    </row>
    <row r="141" spans="6:6" ht="15.75" customHeight="1" x14ac:dyDescent="0.35">
      <c r="F141" s="1"/>
    </row>
    <row r="142" spans="6:6" ht="15.75" customHeight="1" x14ac:dyDescent="0.35">
      <c r="F142" s="1"/>
    </row>
    <row r="143" spans="6:6" ht="15.75" customHeight="1" x14ac:dyDescent="0.35">
      <c r="F143" s="1"/>
    </row>
    <row r="144" spans="6:6" ht="15.75" customHeight="1" x14ac:dyDescent="0.35">
      <c r="F144" s="1"/>
    </row>
    <row r="145" spans="6:6" ht="15.75" customHeight="1" x14ac:dyDescent="0.35">
      <c r="F145" s="1"/>
    </row>
    <row r="146" spans="6:6" ht="15.75" customHeight="1" x14ac:dyDescent="0.35">
      <c r="F146" s="1"/>
    </row>
    <row r="147" spans="6:6" ht="15.75" customHeight="1" x14ac:dyDescent="0.35">
      <c r="F147" s="1"/>
    </row>
    <row r="148" spans="6:6" ht="15.75" customHeight="1" x14ac:dyDescent="0.35">
      <c r="F148" s="1"/>
    </row>
    <row r="149" spans="6:6" ht="15.75" customHeight="1" x14ac:dyDescent="0.35">
      <c r="F149" s="1"/>
    </row>
    <row r="150" spans="6:6" ht="15.75" customHeight="1" x14ac:dyDescent="0.35">
      <c r="F150" s="1"/>
    </row>
    <row r="151" spans="6:6" ht="15.75" customHeight="1" x14ac:dyDescent="0.35">
      <c r="F151" s="1"/>
    </row>
    <row r="152" spans="6:6" ht="15.75" customHeight="1" x14ac:dyDescent="0.35">
      <c r="F152" s="1"/>
    </row>
    <row r="153" spans="6:6" ht="15.75" customHeight="1" x14ac:dyDescent="0.35">
      <c r="F153" s="1"/>
    </row>
    <row r="154" spans="6:6" ht="15.75" customHeight="1" x14ac:dyDescent="0.35">
      <c r="F154" s="1"/>
    </row>
    <row r="155" spans="6:6" ht="15.75" customHeight="1" x14ac:dyDescent="0.35">
      <c r="F155" s="1"/>
    </row>
    <row r="156" spans="6:6" ht="15.75" customHeight="1" x14ac:dyDescent="0.35">
      <c r="F156" s="1"/>
    </row>
    <row r="157" spans="6:6" ht="15.75" customHeight="1" x14ac:dyDescent="0.35">
      <c r="F157" s="1"/>
    </row>
    <row r="158" spans="6:6" ht="15.75" customHeight="1" x14ac:dyDescent="0.35">
      <c r="F158" s="1"/>
    </row>
    <row r="159" spans="6:6" ht="15.75" customHeight="1" x14ac:dyDescent="0.35">
      <c r="F159" s="1"/>
    </row>
    <row r="160" spans="6:6" ht="15.75" customHeight="1" x14ac:dyDescent="0.35">
      <c r="F160" s="1"/>
    </row>
    <row r="161" spans="6:6" ht="15.75" customHeight="1" x14ac:dyDescent="0.35">
      <c r="F161" s="1"/>
    </row>
    <row r="162" spans="6:6" ht="15.75" customHeight="1" x14ac:dyDescent="0.35">
      <c r="F162" s="1"/>
    </row>
    <row r="163" spans="6:6" ht="15.75" customHeight="1" x14ac:dyDescent="0.35">
      <c r="F163" s="1"/>
    </row>
    <row r="164" spans="6:6" ht="15.75" customHeight="1" x14ac:dyDescent="0.35">
      <c r="F164" s="1"/>
    </row>
    <row r="165" spans="6:6" ht="15.75" customHeight="1" x14ac:dyDescent="0.35">
      <c r="F165" s="1"/>
    </row>
    <row r="166" spans="6:6" ht="15.75" customHeight="1" x14ac:dyDescent="0.35">
      <c r="F166" s="1"/>
    </row>
    <row r="167" spans="6:6" ht="15.75" customHeight="1" x14ac:dyDescent="0.35">
      <c r="F167" s="1"/>
    </row>
    <row r="168" spans="6:6" ht="15.75" customHeight="1" x14ac:dyDescent="0.35">
      <c r="F168" s="1"/>
    </row>
    <row r="169" spans="6:6" ht="15.75" customHeight="1" x14ac:dyDescent="0.35">
      <c r="F169" s="1"/>
    </row>
    <row r="170" spans="6:6" ht="15.75" customHeight="1" x14ac:dyDescent="0.35">
      <c r="F170" s="1"/>
    </row>
    <row r="171" spans="6:6" ht="15.75" customHeight="1" x14ac:dyDescent="0.35">
      <c r="F171" s="1"/>
    </row>
    <row r="172" spans="6:6" ht="15.75" customHeight="1" x14ac:dyDescent="0.35">
      <c r="F172" s="1"/>
    </row>
    <row r="173" spans="6:6" ht="15.75" customHeight="1" x14ac:dyDescent="0.35">
      <c r="F173" s="1"/>
    </row>
    <row r="174" spans="6:6" ht="15.75" customHeight="1" x14ac:dyDescent="0.35">
      <c r="F174" s="1"/>
    </row>
    <row r="175" spans="6:6" ht="15.75" customHeight="1" x14ac:dyDescent="0.35">
      <c r="F175" s="1"/>
    </row>
    <row r="176" spans="6:6" ht="15.75" customHeight="1" x14ac:dyDescent="0.35">
      <c r="F176" s="1"/>
    </row>
    <row r="177" spans="6:6" ht="15.75" customHeight="1" x14ac:dyDescent="0.35">
      <c r="F177" s="1"/>
    </row>
    <row r="178" spans="6:6" ht="15.75" customHeight="1" x14ac:dyDescent="0.35">
      <c r="F178" s="1"/>
    </row>
    <row r="179" spans="6:6" ht="15.75" customHeight="1" x14ac:dyDescent="0.35">
      <c r="F179" s="1"/>
    </row>
    <row r="180" spans="6:6" ht="15.75" customHeight="1" x14ac:dyDescent="0.35">
      <c r="F180" s="1"/>
    </row>
    <row r="181" spans="6:6" ht="15.75" customHeight="1" x14ac:dyDescent="0.35">
      <c r="F181" s="1"/>
    </row>
    <row r="182" spans="6:6" ht="15.75" customHeight="1" x14ac:dyDescent="0.35">
      <c r="F182" s="1"/>
    </row>
    <row r="183" spans="6:6" ht="15.75" customHeight="1" x14ac:dyDescent="0.35">
      <c r="F183" s="1"/>
    </row>
    <row r="184" spans="6:6" ht="15.75" customHeight="1" x14ac:dyDescent="0.35">
      <c r="F184" s="1"/>
    </row>
    <row r="185" spans="6:6" ht="15.75" customHeight="1" x14ac:dyDescent="0.35">
      <c r="F185" s="1"/>
    </row>
    <row r="186" spans="6:6" ht="15.75" customHeight="1" x14ac:dyDescent="0.35">
      <c r="F186" s="1"/>
    </row>
    <row r="187" spans="6:6" ht="15.75" customHeight="1" x14ac:dyDescent="0.35">
      <c r="F187" s="1"/>
    </row>
    <row r="188" spans="6:6" ht="15.75" customHeight="1" x14ac:dyDescent="0.35">
      <c r="F188" s="1"/>
    </row>
    <row r="189" spans="6:6" ht="15.75" customHeight="1" x14ac:dyDescent="0.35">
      <c r="F189" s="1"/>
    </row>
    <row r="190" spans="6:6" ht="15.75" customHeight="1" x14ac:dyDescent="0.35">
      <c r="F190" s="1"/>
    </row>
    <row r="191" spans="6:6" ht="15.75" customHeight="1" x14ac:dyDescent="0.35">
      <c r="F191" s="1"/>
    </row>
    <row r="192" spans="6:6" ht="15.75" customHeight="1" x14ac:dyDescent="0.35">
      <c r="F192" s="1"/>
    </row>
    <row r="193" spans="6:6" ht="15.75" customHeight="1" x14ac:dyDescent="0.35">
      <c r="F193" s="1"/>
    </row>
    <row r="194" spans="6:6" ht="15.75" customHeight="1" x14ac:dyDescent="0.35">
      <c r="F194" s="1"/>
    </row>
    <row r="195" spans="6:6" ht="15.75" customHeight="1" x14ac:dyDescent="0.35">
      <c r="F195" s="1"/>
    </row>
    <row r="196" spans="6:6" ht="15.75" customHeight="1" x14ac:dyDescent="0.35">
      <c r="F196" s="1"/>
    </row>
    <row r="197" spans="6:6" ht="15.75" customHeight="1" x14ac:dyDescent="0.35">
      <c r="F197" s="1"/>
    </row>
    <row r="198" spans="6:6" ht="15.75" customHeight="1" x14ac:dyDescent="0.35">
      <c r="F198" s="1"/>
    </row>
    <row r="199" spans="6:6" ht="15.75" customHeight="1" x14ac:dyDescent="0.35">
      <c r="F199" s="1"/>
    </row>
    <row r="200" spans="6:6" ht="15.75" customHeight="1" x14ac:dyDescent="0.35">
      <c r="F200" s="1"/>
    </row>
    <row r="201" spans="6:6" ht="15.75" customHeight="1" x14ac:dyDescent="0.35">
      <c r="F201" s="1"/>
    </row>
    <row r="202" spans="6:6" ht="15.75" customHeight="1" x14ac:dyDescent="0.35">
      <c r="F202" s="1"/>
    </row>
    <row r="203" spans="6:6" ht="15.75" customHeight="1" x14ac:dyDescent="0.35">
      <c r="F203" s="1"/>
    </row>
    <row r="204" spans="6:6" ht="15.75" customHeight="1" x14ac:dyDescent="0.35">
      <c r="F204" s="1"/>
    </row>
    <row r="205" spans="6:6" ht="15.75" customHeight="1" x14ac:dyDescent="0.35">
      <c r="F205" s="1"/>
    </row>
    <row r="206" spans="6:6" ht="15.75" customHeight="1" x14ac:dyDescent="0.35">
      <c r="F206" s="1"/>
    </row>
    <row r="207" spans="6:6" ht="15.75" customHeight="1" x14ac:dyDescent="0.35">
      <c r="F207" s="1"/>
    </row>
    <row r="208" spans="6:6" ht="15.75" customHeight="1" x14ac:dyDescent="0.35">
      <c r="F208" s="1"/>
    </row>
    <row r="209" spans="6:6" ht="15.75" customHeight="1" x14ac:dyDescent="0.35">
      <c r="F209" s="1"/>
    </row>
    <row r="210" spans="6:6" ht="15.75" customHeight="1" x14ac:dyDescent="0.35">
      <c r="F210" s="1"/>
    </row>
    <row r="211" spans="6:6" ht="15.75" customHeight="1" x14ac:dyDescent="0.35">
      <c r="F211" s="1"/>
    </row>
    <row r="212" spans="6:6" ht="15.75" customHeight="1" x14ac:dyDescent="0.35">
      <c r="F212" s="1"/>
    </row>
    <row r="213" spans="6:6" ht="15.75" customHeight="1" x14ac:dyDescent="0.35">
      <c r="F213" s="1"/>
    </row>
    <row r="214" spans="6:6" ht="15.75" customHeight="1" x14ac:dyDescent="0.35">
      <c r="F214" s="1"/>
    </row>
    <row r="215" spans="6:6" ht="15.75" customHeight="1" x14ac:dyDescent="0.35">
      <c r="F215" s="1"/>
    </row>
    <row r="216" spans="6:6" ht="15.75" customHeight="1" x14ac:dyDescent="0.35">
      <c r="F216" s="1"/>
    </row>
    <row r="217" spans="6:6" ht="15.75" customHeight="1" x14ac:dyDescent="0.35">
      <c r="F217" s="1"/>
    </row>
    <row r="218" spans="6:6" ht="15.75" customHeight="1" x14ac:dyDescent="0.35">
      <c r="F218" s="1"/>
    </row>
    <row r="219" spans="6:6" ht="15.75" customHeight="1" x14ac:dyDescent="0.35"/>
    <row r="220" spans="6:6" ht="15.75" customHeight="1" x14ac:dyDescent="0.35"/>
    <row r="221" spans="6:6" ht="15.75" customHeight="1" x14ac:dyDescent="0.35"/>
    <row r="222" spans="6:6" ht="15.75" customHeight="1" x14ac:dyDescent="0.35"/>
    <row r="223" spans="6:6" ht="15.75" customHeight="1" x14ac:dyDescent="0.35"/>
    <row r="224" spans="6:6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</sheetData>
  <mergeCells count="2">
    <mergeCell ref="B1:F2"/>
    <mergeCell ref="B5:C5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1001"/>
  <sheetViews>
    <sheetView zoomScale="70" zoomScaleNormal="70" workbookViewId="0">
      <selection activeCell="G9" sqref="G9"/>
    </sheetView>
  </sheetViews>
  <sheetFormatPr defaultColWidth="14.453125" defaultRowHeight="15" customHeight="1" x14ac:dyDescent="0.35"/>
  <cols>
    <col min="1" max="1" width="18" customWidth="1"/>
    <col min="5" max="5" width="12.54296875" style="869" customWidth="1"/>
    <col min="6" max="19" width="13.26953125" customWidth="1"/>
    <col min="20" max="20" width="10.7265625" customWidth="1"/>
    <col min="21" max="21" width="11" customWidth="1"/>
  </cols>
  <sheetData>
    <row r="1" spans="1:26" ht="14.5" x14ac:dyDescent="0.35">
      <c r="A1" s="1045" t="s">
        <v>195</v>
      </c>
      <c r="B1" s="1040"/>
      <c r="C1" s="1040"/>
      <c r="D1" s="1040"/>
      <c r="E1" s="1040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spans="1:26" ht="14.5" x14ac:dyDescent="0.35">
      <c r="A2" s="1041"/>
      <c r="B2" s="1042"/>
      <c r="C2" s="1042"/>
      <c r="D2" s="1042"/>
      <c r="E2" s="1042"/>
      <c r="F2" s="284" t="s">
        <v>27</v>
      </c>
      <c r="G2" s="285" t="s">
        <v>2</v>
      </c>
      <c r="H2" s="286" t="s">
        <v>3</v>
      </c>
      <c r="I2" s="287" t="s">
        <v>4</v>
      </c>
      <c r="J2" s="288" t="s">
        <v>5</v>
      </c>
      <c r="K2" s="289" t="s">
        <v>6</v>
      </c>
      <c r="L2" s="290" t="s">
        <v>7</v>
      </c>
      <c r="M2" s="291" t="s">
        <v>8</v>
      </c>
      <c r="N2" s="292" t="s">
        <v>9</v>
      </c>
      <c r="O2" s="293" t="s">
        <v>10</v>
      </c>
      <c r="P2" s="294" t="s">
        <v>11</v>
      </c>
      <c r="Q2" s="295" t="s">
        <v>12</v>
      </c>
      <c r="R2" s="296" t="s">
        <v>13</v>
      </c>
      <c r="S2" s="297" t="s">
        <v>14</v>
      </c>
      <c r="T2" s="204"/>
      <c r="U2" s="204"/>
      <c r="V2" s="204"/>
      <c r="W2" s="298"/>
    </row>
    <row r="3" spans="1:26" ht="14.5" x14ac:dyDescent="0.35">
      <c r="A3" s="299" t="s">
        <v>15</v>
      </c>
      <c r="B3" s="300"/>
      <c r="C3" s="94" t="s">
        <v>17</v>
      </c>
      <c r="D3" s="94" t="s">
        <v>18</v>
      </c>
      <c r="E3" s="865" t="s">
        <v>19</v>
      </c>
      <c r="F3" s="96">
        <v>2</v>
      </c>
      <c r="G3" s="97">
        <v>5</v>
      </c>
      <c r="H3" s="137">
        <v>7</v>
      </c>
      <c r="I3" s="301">
        <v>10</v>
      </c>
      <c r="J3" s="302">
        <v>11</v>
      </c>
      <c r="K3" s="101">
        <v>12</v>
      </c>
      <c r="L3" s="102">
        <v>13</v>
      </c>
      <c r="M3" s="103">
        <v>16</v>
      </c>
      <c r="N3" s="104">
        <v>27</v>
      </c>
      <c r="O3" s="105">
        <v>69</v>
      </c>
      <c r="P3" s="303">
        <v>76</v>
      </c>
      <c r="Q3" s="304">
        <v>77</v>
      </c>
      <c r="R3" s="305">
        <v>79</v>
      </c>
      <c r="S3" s="306">
        <v>81</v>
      </c>
      <c r="T3" s="305" t="s">
        <v>20</v>
      </c>
      <c r="U3" s="305" t="s">
        <v>21</v>
      </c>
      <c r="V3" s="305" t="s">
        <v>22</v>
      </c>
      <c r="W3" s="307" t="s">
        <v>28</v>
      </c>
    </row>
    <row r="4" spans="1:26" ht="14.5" x14ac:dyDescent="0.35">
      <c r="A4" s="308"/>
      <c r="B4" s="204"/>
      <c r="C4" s="204"/>
      <c r="D4" s="204"/>
      <c r="E4" s="211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98"/>
    </row>
    <row r="5" spans="1:26" ht="40.5" customHeight="1" x14ac:dyDescent="0.6">
      <c r="A5" s="1044" t="s">
        <v>989</v>
      </c>
      <c r="B5" s="1044"/>
      <c r="C5" s="890">
        <f>SUM(C6:C16)</f>
        <v>90</v>
      </c>
      <c r="D5" s="926" t="s">
        <v>988</v>
      </c>
      <c r="E5" s="925">
        <f>SUM(E6:E14)*0.95</f>
        <v>937.40300000000002</v>
      </c>
      <c r="F5" s="310"/>
      <c r="G5" s="311"/>
      <c r="H5" s="312"/>
      <c r="I5" s="313"/>
      <c r="J5" s="314"/>
      <c r="K5" s="315"/>
      <c r="L5" s="316"/>
      <c r="M5" s="317"/>
      <c r="N5" s="318"/>
      <c r="O5" s="319"/>
      <c r="P5" s="320"/>
      <c r="Q5" s="321"/>
      <c r="R5" s="206"/>
      <c r="S5" s="322"/>
      <c r="T5" s="323">
        <f t="shared" ref="T5" si="0">SUM(F5:S5)</f>
        <v>0</v>
      </c>
      <c r="U5" s="323">
        <f t="shared" ref="U5:U10" si="1">T5*C5</f>
        <v>0</v>
      </c>
      <c r="V5" s="324">
        <f>T5* 2.5</f>
        <v>0</v>
      </c>
      <c r="W5" s="325">
        <f t="shared" ref="W5" si="2">T5*E5</f>
        <v>0</v>
      </c>
    </row>
    <row r="6" spans="1:26" ht="50.25" customHeight="1" x14ac:dyDescent="0.6">
      <c r="A6" s="309" t="s">
        <v>196</v>
      </c>
      <c r="B6" s="206"/>
      <c r="C6" s="19">
        <v>20</v>
      </c>
      <c r="D6" s="19" t="s">
        <v>197</v>
      </c>
      <c r="E6" s="924">
        <v>159.65</v>
      </c>
      <c r="F6" s="310"/>
      <c r="G6" s="311"/>
      <c r="H6" s="312"/>
      <c r="I6" s="313"/>
      <c r="J6" s="314"/>
      <c r="K6" s="315"/>
      <c r="L6" s="316"/>
      <c r="M6" s="317"/>
      <c r="N6" s="318"/>
      <c r="O6" s="319"/>
      <c r="P6" s="320"/>
      <c r="Q6" s="321"/>
      <c r="R6" s="206"/>
      <c r="S6" s="322"/>
      <c r="T6" s="323">
        <f t="shared" ref="T6:T15" si="3">SUM(F6:S6)</f>
        <v>0</v>
      </c>
      <c r="U6" s="323">
        <f t="shared" si="1"/>
        <v>0</v>
      </c>
      <c r="V6" s="324">
        <f>T6* 2.5</f>
        <v>0</v>
      </c>
      <c r="W6" s="325">
        <f t="shared" ref="W6:W10" si="4">T6*E6</f>
        <v>0</v>
      </c>
    </row>
    <row r="7" spans="1:26" ht="69" customHeight="1" x14ac:dyDescent="0.4">
      <c r="A7" s="19" t="s">
        <v>198</v>
      </c>
      <c r="B7" s="206"/>
      <c r="C7" s="19">
        <v>10</v>
      </c>
      <c r="D7" s="19" t="s">
        <v>199</v>
      </c>
      <c r="E7" s="924">
        <v>21.63</v>
      </c>
      <c r="F7" s="310"/>
      <c r="G7" s="311"/>
      <c r="H7" s="312"/>
      <c r="I7" s="313"/>
      <c r="J7" s="314"/>
      <c r="K7" s="315"/>
      <c r="L7" s="316"/>
      <c r="M7" s="317"/>
      <c r="N7" s="318"/>
      <c r="O7" s="319"/>
      <c r="P7" s="320"/>
      <c r="Q7" s="326"/>
      <c r="R7" s="206"/>
      <c r="S7" s="322"/>
      <c r="T7" s="323">
        <f t="shared" si="3"/>
        <v>0</v>
      </c>
      <c r="U7" s="323">
        <f t="shared" si="1"/>
        <v>0</v>
      </c>
      <c r="V7" s="324">
        <f>T7* 0.4</f>
        <v>0</v>
      </c>
      <c r="W7" s="325">
        <f t="shared" si="4"/>
        <v>0</v>
      </c>
    </row>
    <row r="8" spans="1:26" ht="69" customHeight="1" x14ac:dyDescent="0.4">
      <c r="A8" s="309" t="s">
        <v>200</v>
      </c>
      <c r="B8" s="206"/>
      <c r="C8" s="19">
        <v>10</v>
      </c>
      <c r="D8" s="19" t="s">
        <v>201</v>
      </c>
      <c r="E8" s="924">
        <v>32.96</v>
      </c>
      <c r="F8" s="310"/>
      <c r="G8" s="311"/>
      <c r="H8" s="312"/>
      <c r="I8" s="313"/>
      <c r="J8" s="314"/>
      <c r="K8" s="315"/>
      <c r="L8" s="316"/>
      <c r="M8" s="317"/>
      <c r="N8" s="318"/>
      <c r="O8" s="319"/>
      <c r="P8" s="320"/>
      <c r="Q8" s="326"/>
      <c r="R8" s="206"/>
      <c r="S8" s="322"/>
      <c r="T8" s="323">
        <f t="shared" si="3"/>
        <v>0</v>
      </c>
      <c r="U8" s="323">
        <f t="shared" si="1"/>
        <v>0</v>
      </c>
      <c r="V8" s="324">
        <f>T8* 0.6</f>
        <v>0</v>
      </c>
      <c r="W8" s="325">
        <f t="shared" si="4"/>
        <v>0</v>
      </c>
    </row>
    <row r="9" spans="1:26" ht="69" customHeight="1" x14ac:dyDescent="0.4">
      <c r="A9" s="309" t="s">
        <v>202</v>
      </c>
      <c r="B9" s="206"/>
      <c r="C9" s="19">
        <v>10</v>
      </c>
      <c r="D9" s="19" t="s">
        <v>203</v>
      </c>
      <c r="E9" s="924">
        <v>74.16</v>
      </c>
      <c r="F9" s="310"/>
      <c r="G9" s="311"/>
      <c r="H9" s="312"/>
      <c r="I9" s="313"/>
      <c r="J9" s="314"/>
      <c r="K9" s="315"/>
      <c r="L9" s="316"/>
      <c r="M9" s="317"/>
      <c r="N9" s="318"/>
      <c r="O9" s="319"/>
      <c r="P9" s="320"/>
      <c r="Q9" s="326"/>
      <c r="R9" s="206"/>
      <c r="S9" s="322"/>
      <c r="T9" s="323">
        <f t="shared" si="3"/>
        <v>0</v>
      </c>
      <c r="U9" s="323">
        <f t="shared" si="1"/>
        <v>0</v>
      </c>
      <c r="V9" s="324">
        <f>T9* 1.37</f>
        <v>0</v>
      </c>
      <c r="W9" s="325">
        <f t="shared" si="4"/>
        <v>0</v>
      </c>
    </row>
    <row r="10" spans="1:26" ht="69" customHeight="1" x14ac:dyDescent="0.4">
      <c r="A10" s="309" t="s">
        <v>204</v>
      </c>
      <c r="B10" s="206"/>
      <c r="C10" s="19">
        <v>10</v>
      </c>
      <c r="D10" s="19" t="s">
        <v>205</v>
      </c>
      <c r="E10" s="924">
        <v>67.98</v>
      </c>
      <c r="F10" s="310"/>
      <c r="G10" s="311"/>
      <c r="H10" s="312"/>
      <c r="I10" s="313"/>
      <c r="J10" s="314"/>
      <c r="K10" s="315"/>
      <c r="L10" s="316"/>
      <c r="M10" s="317"/>
      <c r="N10" s="318"/>
      <c r="O10" s="319"/>
      <c r="P10" s="320"/>
      <c r="Q10" s="326"/>
      <c r="R10" s="206"/>
      <c r="S10" s="322"/>
      <c r="T10" s="323">
        <f t="shared" si="3"/>
        <v>0</v>
      </c>
      <c r="U10" s="323">
        <f t="shared" si="1"/>
        <v>0</v>
      </c>
      <c r="V10" s="324">
        <f>T10* 1.25</f>
        <v>0</v>
      </c>
      <c r="W10" s="325">
        <f t="shared" si="4"/>
        <v>0</v>
      </c>
    </row>
    <row r="11" spans="1:26" ht="69" customHeight="1" x14ac:dyDescent="0.4">
      <c r="A11" s="309" t="s">
        <v>206</v>
      </c>
      <c r="B11" s="327"/>
      <c r="C11" s="19">
        <v>10</v>
      </c>
      <c r="D11" s="19" t="s">
        <v>207</v>
      </c>
      <c r="E11" s="924">
        <v>173.04</v>
      </c>
      <c r="F11" s="328"/>
      <c r="G11" s="329"/>
      <c r="H11" s="330"/>
      <c r="I11" s="313"/>
      <c r="J11" s="331"/>
      <c r="K11" s="332"/>
      <c r="L11" s="333"/>
      <c r="M11" s="334"/>
      <c r="N11" s="335"/>
      <c r="O11" s="336"/>
      <c r="P11" s="337"/>
      <c r="Q11" s="338"/>
      <c r="R11" s="232"/>
      <c r="S11" s="339"/>
      <c r="T11" s="340">
        <f t="shared" si="3"/>
        <v>0</v>
      </c>
      <c r="U11" s="340">
        <f>C11*T11</f>
        <v>0</v>
      </c>
      <c r="V11" s="324">
        <f t="shared" ref="V11:V12" si="5">T11* 3.2</f>
        <v>0</v>
      </c>
      <c r="W11" s="341">
        <f>E11*T11</f>
        <v>0</v>
      </c>
    </row>
    <row r="12" spans="1:26" ht="69" customHeight="1" x14ac:dyDescent="0.4">
      <c r="A12" s="309" t="s">
        <v>208</v>
      </c>
      <c r="B12" s="206"/>
      <c r="C12" s="19">
        <v>10</v>
      </c>
      <c r="D12" s="19" t="s">
        <v>209</v>
      </c>
      <c r="E12" s="924">
        <v>288.40000000000003</v>
      </c>
      <c r="F12" s="310"/>
      <c r="G12" s="311"/>
      <c r="H12" s="312"/>
      <c r="I12" s="313"/>
      <c r="J12" s="314"/>
      <c r="K12" s="315"/>
      <c r="L12" s="316"/>
      <c r="M12" s="317"/>
      <c r="N12" s="318"/>
      <c r="O12" s="319"/>
      <c r="P12" s="320"/>
      <c r="Q12" s="326"/>
      <c r="R12" s="206"/>
      <c r="S12" s="322"/>
      <c r="T12" s="323">
        <f t="shared" si="3"/>
        <v>0</v>
      </c>
      <c r="U12" s="323">
        <f>T12*C12</f>
        <v>0</v>
      </c>
      <c r="V12" s="324">
        <f t="shared" si="5"/>
        <v>0</v>
      </c>
      <c r="W12" s="325">
        <f>T12*E12</f>
        <v>0</v>
      </c>
    </row>
    <row r="13" spans="1:26" ht="67.5" customHeight="1" x14ac:dyDescent="0.4">
      <c r="A13" s="309" t="s">
        <v>210</v>
      </c>
      <c r="B13" s="342"/>
      <c r="C13" s="19">
        <v>5</v>
      </c>
      <c r="D13" s="19" t="s">
        <v>211</v>
      </c>
      <c r="E13" s="924">
        <v>45.32</v>
      </c>
      <c r="F13" s="310"/>
      <c r="G13" s="311"/>
      <c r="H13" s="312"/>
      <c r="I13" s="313"/>
      <c r="J13" s="314"/>
      <c r="K13" s="315"/>
      <c r="L13" s="316"/>
      <c r="M13" s="317"/>
      <c r="N13" s="318"/>
      <c r="O13" s="319"/>
      <c r="P13" s="320"/>
      <c r="Q13" s="326"/>
      <c r="R13" s="206"/>
      <c r="S13" s="322"/>
      <c r="T13" s="323">
        <f t="shared" si="3"/>
        <v>0</v>
      </c>
      <c r="U13" s="323">
        <f>C13*T13</f>
        <v>0</v>
      </c>
      <c r="V13" s="324">
        <f>T13*5.4</f>
        <v>0</v>
      </c>
      <c r="W13" s="343">
        <f t="shared" ref="W13:W15" si="6">E13*T13</f>
        <v>0</v>
      </c>
    </row>
    <row r="14" spans="1:26" ht="67.5" customHeight="1" x14ac:dyDescent="0.4">
      <c r="A14" s="309" t="s">
        <v>212</v>
      </c>
      <c r="B14" s="327"/>
      <c r="C14" s="19">
        <v>5</v>
      </c>
      <c r="D14" s="19" t="s">
        <v>213</v>
      </c>
      <c r="E14" s="924">
        <v>123.60000000000001</v>
      </c>
      <c r="F14" s="328"/>
      <c r="G14" s="329"/>
      <c r="H14" s="330"/>
      <c r="I14" s="344"/>
      <c r="J14" s="331"/>
      <c r="K14" s="332"/>
      <c r="L14" s="333"/>
      <c r="M14" s="334"/>
      <c r="N14" s="335"/>
      <c r="O14" s="336"/>
      <c r="P14" s="337"/>
      <c r="Q14" s="338"/>
      <c r="R14" s="232"/>
      <c r="S14" s="339"/>
      <c r="T14" s="340">
        <f t="shared" si="3"/>
        <v>0</v>
      </c>
      <c r="U14" s="340">
        <f>C14*T14</f>
        <v>0</v>
      </c>
      <c r="V14" s="324">
        <f>T14*0.82</f>
        <v>0</v>
      </c>
      <c r="W14" s="341">
        <f t="shared" si="6"/>
        <v>0</v>
      </c>
    </row>
    <row r="15" spans="1:26" ht="19.5" customHeight="1" x14ac:dyDescent="0.4">
      <c r="A15" s="345"/>
      <c r="B15" s="346"/>
      <c r="C15" s="305"/>
      <c r="D15" s="305"/>
      <c r="E15" s="1007"/>
      <c r="F15" s="96"/>
      <c r="G15" s="97"/>
      <c r="H15" s="137"/>
      <c r="I15" s="347"/>
      <c r="J15" s="302"/>
      <c r="K15" s="101"/>
      <c r="L15" s="102"/>
      <c r="M15" s="103"/>
      <c r="N15" s="104"/>
      <c r="O15" s="105"/>
      <c r="P15" s="303"/>
      <c r="Q15" s="304"/>
      <c r="R15" s="305"/>
      <c r="S15" s="348"/>
      <c r="T15" s="323">
        <f t="shared" si="3"/>
        <v>0</v>
      </c>
      <c r="U15" s="323">
        <f>C15*T15</f>
        <v>0</v>
      </c>
      <c r="V15" s="324">
        <f>T15*17.79</f>
        <v>0</v>
      </c>
      <c r="W15" s="343">
        <f t="shared" si="6"/>
        <v>0</v>
      </c>
      <c r="X15" s="349"/>
      <c r="Y15" s="349"/>
      <c r="Z15" s="349"/>
    </row>
    <row r="16" spans="1:26" ht="14.5" x14ac:dyDescent="0.35">
      <c r="A16" s="350"/>
      <c r="B16" s="133"/>
      <c r="C16" s="133"/>
      <c r="D16" s="133"/>
      <c r="E16" s="864"/>
      <c r="F16" s="351">
        <f>SUM(F5:F15)</f>
        <v>0</v>
      </c>
      <c r="G16" s="351">
        <f t="shared" ref="G16:V16" si="7">SUM(G5:G15)</f>
        <v>0</v>
      </c>
      <c r="H16" s="351">
        <f t="shared" si="7"/>
        <v>0</v>
      </c>
      <c r="I16" s="351">
        <f t="shared" si="7"/>
        <v>0</v>
      </c>
      <c r="J16" s="351">
        <f t="shared" si="7"/>
        <v>0</v>
      </c>
      <c r="K16" s="351">
        <f t="shared" si="7"/>
        <v>0</v>
      </c>
      <c r="L16" s="351">
        <f t="shared" si="7"/>
        <v>0</v>
      </c>
      <c r="M16" s="351">
        <f t="shared" si="7"/>
        <v>0</v>
      </c>
      <c r="N16" s="351">
        <f t="shared" si="7"/>
        <v>0</v>
      </c>
      <c r="O16" s="351">
        <f t="shared" si="7"/>
        <v>0</v>
      </c>
      <c r="P16" s="351">
        <f t="shared" si="7"/>
        <v>0</v>
      </c>
      <c r="Q16" s="351">
        <f t="shared" si="7"/>
        <v>0</v>
      </c>
      <c r="R16" s="351">
        <f t="shared" si="7"/>
        <v>0</v>
      </c>
      <c r="S16" s="351">
        <f t="shared" si="7"/>
        <v>0</v>
      </c>
      <c r="T16" s="351">
        <f t="shared" si="7"/>
        <v>0</v>
      </c>
      <c r="U16" s="351">
        <f t="shared" si="7"/>
        <v>0</v>
      </c>
      <c r="V16" s="351">
        <f t="shared" si="7"/>
        <v>0</v>
      </c>
      <c r="W16" s="352">
        <f>SUM(W5:W15)</f>
        <v>0</v>
      </c>
    </row>
    <row r="17" spans="1:23" ht="14.5" x14ac:dyDescent="0.35">
      <c r="A17" s="350"/>
      <c r="B17" s="133"/>
      <c r="C17" s="133"/>
      <c r="D17" s="133"/>
      <c r="E17" s="864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  <c r="W17" s="133"/>
    </row>
    <row r="18" spans="1:23" ht="14.5" x14ac:dyDescent="0.35">
      <c r="A18" s="353"/>
    </row>
    <row r="19" spans="1:23" ht="14.5" x14ac:dyDescent="0.35">
      <c r="A19" s="353"/>
    </row>
    <row r="20" spans="1:23" ht="14.5" x14ac:dyDescent="0.35">
      <c r="A20" s="353"/>
    </row>
    <row r="21" spans="1:23" ht="14.5" x14ac:dyDescent="0.35">
      <c r="A21" s="353"/>
    </row>
    <row r="22" spans="1:23" ht="14.5" x14ac:dyDescent="0.35">
      <c r="A22" s="353"/>
    </row>
    <row r="23" spans="1:23" ht="14.5" x14ac:dyDescent="0.35">
      <c r="A23" s="353"/>
    </row>
    <row r="24" spans="1:23" ht="14.5" x14ac:dyDescent="0.35">
      <c r="A24" s="353"/>
    </row>
    <row r="25" spans="1:23" ht="14.5" x14ac:dyDescent="0.35">
      <c r="A25" s="353"/>
    </row>
    <row r="26" spans="1:23" ht="14.5" x14ac:dyDescent="0.35">
      <c r="A26" s="353"/>
    </row>
    <row r="27" spans="1:23" ht="14.5" x14ac:dyDescent="0.35">
      <c r="A27" s="353"/>
    </row>
    <row r="28" spans="1:23" ht="14.5" x14ac:dyDescent="0.35">
      <c r="A28" s="353"/>
    </row>
    <row r="29" spans="1:23" ht="14.5" x14ac:dyDescent="0.35">
      <c r="A29" s="353"/>
    </row>
    <row r="30" spans="1:23" ht="14.5" x14ac:dyDescent="0.35">
      <c r="A30" s="353"/>
    </row>
    <row r="31" spans="1:23" ht="14.5" x14ac:dyDescent="0.35">
      <c r="A31" s="353"/>
    </row>
    <row r="32" spans="1:23" ht="14.5" x14ac:dyDescent="0.35">
      <c r="A32" s="353"/>
    </row>
    <row r="33" spans="1:1" ht="14.5" x14ac:dyDescent="0.35">
      <c r="A33" s="353"/>
    </row>
    <row r="34" spans="1:1" ht="14.5" x14ac:dyDescent="0.35">
      <c r="A34" s="353"/>
    </row>
    <row r="35" spans="1:1" ht="14.5" x14ac:dyDescent="0.35">
      <c r="A35" s="353"/>
    </row>
    <row r="36" spans="1:1" ht="14.5" x14ac:dyDescent="0.35">
      <c r="A36" s="353"/>
    </row>
    <row r="37" spans="1:1" ht="14.5" x14ac:dyDescent="0.35">
      <c r="A37" s="353"/>
    </row>
    <row r="38" spans="1:1" ht="14.5" x14ac:dyDescent="0.35">
      <c r="A38" s="353"/>
    </row>
    <row r="39" spans="1:1" ht="14.5" x14ac:dyDescent="0.35">
      <c r="A39" s="353"/>
    </row>
    <row r="40" spans="1:1" ht="14.5" x14ac:dyDescent="0.35">
      <c r="A40" s="353"/>
    </row>
    <row r="41" spans="1:1" ht="14.5" x14ac:dyDescent="0.35">
      <c r="A41" s="353"/>
    </row>
    <row r="42" spans="1:1" ht="14.5" x14ac:dyDescent="0.35">
      <c r="A42" s="353"/>
    </row>
    <row r="43" spans="1:1" ht="14.5" x14ac:dyDescent="0.35">
      <c r="A43" s="353"/>
    </row>
    <row r="44" spans="1:1" ht="14.5" x14ac:dyDescent="0.35">
      <c r="A44" s="353"/>
    </row>
    <row r="45" spans="1:1" ht="14.5" x14ac:dyDescent="0.35">
      <c r="A45" s="353"/>
    </row>
    <row r="46" spans="1:1" ht="14.5" x14ac:dyDescent="0.35">
      <c r="A46" s="353"/>
    </row>
    <row r="47" spans="1:1" ht="14.5" x14ac:dyDescent="0.35">
      <c r="A47" s="353"/>
    </row>
    <row r="48" spans="1:1" ht="14.5" x14ac:dyDescent="0.35">
      <c r="A48" s="353"/>
    </row>
    <row r="49" spans="1:1" ht="14.5" x14ac:dyDescent="0.35">
      <c r="A49" s="353"/>
    </row>
    <row r="50" spans="1:1" ht="14.5" x14ac:dyDescent="0.35">
      <c r="A50" s="353"/>
    </row>
    <row r="51" spans="1:1" ht="14.5" x14ac:dyDescent="0.35">
      <c r="A51" s="353"/>
    </row>
    <row r="52" spans="1:1" ht="14.5" x14ac:dyDescent="0.35">
      <c r="A52" s="353"/>
    </row>
    <row r="53" spans="1:1" ht="14.5" x14ac:dyDescent="0.35">
      <c r="A53" s="353"/>
    </row>
    <row r="54" spans="1:1" ht="14.5" x14ac:dyDescent="0.35">
      <c r="A54" s="353"/>
    </row>
    <row r="55" spans="1:1" ht="14.5" x14ac:dyDescent="0.35">
      <c r="A55" s="353"/>
    </row>
    <row r="56" spans="1:1" ht="14.5" x14ac:dyDescent="0.35">
      <c r="A56" s="353"/>
    </row>
    <row r="57" spans="1:1" ht="14.5" x14ac:dyDescent="0.35">
      <c r="A57" s="353"/>
    </row>
    <row r="58" spans="1:1" ht="14.5" x14ac:dyDescent="0.35">
      <c r="A58" s="353"/>
    </row>
    <row r="59" spans="1:1" ht="14.5" x14ac:dyDescent="0.35">
      <c r="A59" s="353"/>
    </row>
    <row r="60" spans="1:1" ht="14.5" x14ac:dyDescent="0.35">
      <c r="A60" s="353"/>
    </row>
    <row r="61" spans="1:1" ht="14.5" x14ac:dyDescent="0.35">
      <c r="A61" s="353"/>
    </row>
    <row r="62" spans="1:1" ht="14.5" x14ac:dyDescent="0.35">
      <c r="A62" s="353"/>
    </row>
    <row r="63" spans="1:1" ht="14.5" x14ac:dyDescent="0.35">
      <c r="A63" s="353"/>
    </row>
    <row r="64" spans="1:1" ht="14.5" x14ac:dyDescent="0.35">
      <c r="A64" s="353"/>
    </row>
    <row r="65" spans="1:1" ht="14.5" x14ac:dyDescent="0.35">
      <c r="A65" s="353"/>
    </row>
    <row r="66" spans="1:1" ht="14.5" x14ac:dyDescent="0.35">
      <c r="A66" s="353"/>
    </row>
    <row r="67" spans="1:1" ht="14.5" x14ac:dyDescent="0.35">
      <c r="A67" s="353"/>
    </row>
    <row r="68" spans="1:1" ht="14.5" x14ac:dyDescent="0.35">
      <c r="A68" s="353"/>
    </row>
    <row r="69" spans="1:1" ht="14.5" x14ac:dyDescent="0.35">
      <c r="A69" s="353"/>
    </row>
    <row r="70" spans="1:1" ht="14.5" x14ac:dyDescent="0.35">
      <c r="A70" s="353"/>
    </row>
    <row r="71" spans="1:1" ht="14.5" x14ac:dyDescent="0.35">
      <c r="A71" s="353"/>
    </row>
    <row r="72" spans="1:1" ht="14.5" x14ac:dyDescent="0.35">
      <c r="A72" s="353"/>
    </row>
    <row r="73" spans="1:1" ht="14.5" x14ac:dyDescent="0.35">
      <c r="A73" s="353"/>
    </row>
    <row r="74" spans="1:1" ht="14.5" x14ac:dyDescent="0.35">
      <c r="A74" s="353"/>
    </row>
    <row r="75" spans="1:1" ht="14.5" x14ac:dyDescent="0.35">
      <c r="A75" s="353"/>
    </row>
    <row r="76" spans="1:1" ht="14.5" x14ac:dyDescent="0.35">
      <c r="A76" s="353"/>
    </row>
    <row r="77" spans="1:1" ht="14.5" x14ac:dyDescent="0.35">
      <c r="A77" s="353"/>
    </row>
    <row r="78" spans="1:1" ht="14.5" x14ac:dyDescent="0.35">
      <c r="A78" s="353"/>
    </row>
    <row r="79" spans="1:1" ht="14.5" x14ac:dyDescent="0.35">
      <c r="A79" s="353"/>
    </row>
    <row r="80" spans="1:1" ht="14.5" x14ac:dyDescent="0.35">
      <c r="A80" s="353"/>
    </row>
    <row r="81" spans="1:1" ht="14.5" x14ac:dyDescent="0.35">
      <c r="A81" s="353"/>
    </row>
    <row r="82" spans="1:1" ht="14.5" x14ac:dyDescent="0.35">
      <c r="A82" s="353"/>
    </row>
    <row r="83" spans="1:1" ht="14.5" x14ac:dyDescent="0.35">
      <c r="A83" s="353"/>
    </row>
    <row r="84" spans="1:1" ht="14.5" x14ac:dyDescent="0.35">
      <c r="A84" s="353"/>
    </row>
    <row r="85" spans="1:1" ht="14.5" x14ac:dyDescent="0.35">
      <c r="A85" s="353"/>
    </row>
    <row r="86" spans="1:1" ht="14.5" x14ac:dyDescent="0.35">
      <c r="A86" s="353"/>
    </row>
    <row r="87" spans="1:1" ht="14.5" x14ac:dyDescent="0.35">
      <c r="A87" s="353"/>
    </row>
    <row r="88" spans="1:1" ht="14.5" x14ac:dyDescent="0.35">
      <c r="A88" s="353"/>
    </row>
    <row r="89" spans="1:1" ht="14.5" x14ac:dyDescent="0.35">
      <c r="A89" s="353"/>
    </row>
    <row r="90" spans="1:1" ht="14.5" x14ac:dyDescent="0.35">
      <c r="A90" s="353"/>
    </row>
    <row r="91" spans="1:1" ht="14.5" x14ac:dyDescent="0.35">
      <c r="A91" s="353"/>
    </row>
    <row r="92" spans="1:1" ht="14.5" x14ac:dyDescent="0.35">
      <c r="A92" s="353"/>
    </row>
    <row r="93" spans="1:1" ht="14.5" x14ac:dyDescent="0.35">
      <c r="A93" s="353"/>
    </row>
    <row r="94" spans="1:1" ht="14.5" x14ac:dyDescent="0.35">
      <c r="A94" s="353"/>
    </row>
    <row r="95" spans="1:1" ht="14.5" x14ac:dyDescent="0.35">
      <c r="A95" s="353"/>
    </row>
    <row r="96" spans="1:1" ht="14.5" x14ac:dyDescent="0.35">
      <c r="A96" s="353"/>
    </row>
    <row r="97" spans="1:1" ht="14.5" x14ac:dyDescent="0.35">
      <c r="A97" s="353"/>
    </row>
    <row r="98" spans="1:1" ht="14.5" x14ac:dyDescent="0.35">
      <c r="A98" s="353"/>
    </row>
    <row r="99" spans="1:1" ht="14.5" x14ac:dyDescent="0.35">
      <c r="A99" s="353"/>
    </row>
    <row r="100" spans="1:1" ht="14.5" x14ac:dyDescent="0.35">
      <c r="A100" s="353"/>
    </row>
    <row r="101" spans="1:1" ht="14.5" x14ac:dyDescent="0.35">
      <c r="A101" s="353"/>
    </row>
    <row r="102" spans="1:1" ht="14.5" x14ac:dyDescent="0.35">
      <c r="A102" s="353"/>
    </row>
    <row r="103" spans="1:1" ht="14.5" x14ac:dyDescent="0.35">
      <c r="A103" s="353"/>
    </row>
    <row r="104" spans="1:1" ht="14.5" x14ac:dyDescent="0.35">
      <c r="A104" s="353"/>
    </row>
    <row r="105" spans="1:1" ht="14.5" x14ac:dyDescent="0.35">
      <c r="A105" s="353"/>
    </row>
    <row r="106" spans="1:1" ht="14.5" x14ac:dyDescent="0.35">
      <c r="A106" s="353"/>
    </row>
    <row r="107" spans="1:1" ht="14.5" x14ac:dyDescent="0.35">
      <c r="A107" s="353"/>
    </row>
    <row r="108" spans="1:1" ht="14.5" x14ac:dyDescent="0.35">
      <c r="A108" s="353"/>
    </row>
    <row r="109" spans="1:1" ht="14.5" x14ac:dyDescent="0.35">
      <c r="A109" s="353"/>
    </row>
    <row r="110" spans="1:1" ht="14.5" x14ac:dyDescent="0.35">
      <c r="A110" s="353"/>
    </row>
    <row r="111" spans="1:1" ht="14.5" x14ac:dyDescent="0.35">
      <c r="A111" s="353"/>
    </row>
    <row r="112" spans="1:1" ht="14.5" x14ac:dyDescent="0.35">
      <c r="A112" s="353"/>
    </row>
    <row r="113" spans="1:1" ht="14.5" x14ac:dyDescent="0.35">
      <c r="A113" s="353"/>
    </row>
    <row r="114" spans="1:1" ht="14.5" x14ac:dyDescent="0.35">
      <c r="A114" s="353"/>
    </row>
    <row r="115" spans="1:1" ht="14.5" x14ac:dyDescent="0.35">
      <c r="A115" s="353"/>
    </row>
    <row r="116" spans="1:1" ht="14.5" x14ac:dyDescent="0.35">
      <c r="A116" s="353"/>
    </row>
    <row r="117" spans="1:1" ht="14.5" x14ac:dyDescent="0.35">
      <c r="A117" s="353"/>
    </row>
    <row r="118" spans="1:1" ht="14.5" x14ac:dyDescent="0.35">
      <c r="A118" s="353"/>
    </row>
    <row r="119" spans="1:1" ht="14.5" x14ac:dyDescent="0.35">
      <c r="A119" s="353"/>
    </row>
    <row r="120" spans="1:1" ht="14.5" x14ac:dyDescent="0.35">
      <c r="A120" s="353"/>
    </row>
    <row r="121" spans="1:1" ht="14.5" x14ac:dyDescent="0.35">
      <c r="A121" s="353"/>
    </row>
    <row r="122" spans="1:1" ht="14.5" x14ac:dyDescent="0.35">
      <c r="A122" s="353"/>
    </row>
    <row r="123" spans="1:1" ht="14.5" x14ac:dyDescent="0.35">
      <c r="A123" s="353"/>
    </row>
    <row r="124" spans="1:1" ht="14.5" x14ac:dyDescent="0.35">
      <c r="A124" s="353"/>
    </row>
    <row r="125" spans="1:1" ht="14.5" x14ac:dyDescent="0.35">
      <c r="A125" s="353"/>
    </row>
    <row r="126" spans="1:1" ht="14.5" x14ac:dyDescent="0.35">
      <c r="A126" s="353"/>
    </row>
    <row r="127" spans="1:1" ht="14.5" x14ac:dyDescent="0.35">
      <c r="A127" s="353"/>
    </row>
    <row r="128" spans="1:1" ht="14.5" x14ac:dyDescent="0.35">
      <c r="A128" s="353"/>
    </row>
    <row r="129" spans="1:1" ht="14.5" x14ac:dyDescent="0.35">
      <c r="A129" s="353"/>
    </row>
    <row r="130" spans="1:1" ht="14.5" x14ac:dyDescent="0.35">
      <c r="A130" s="353"/>
    </row>
    <row r="131" spans="1:1" ht="14.5" x14ac:dyDescent="0.35">
      <c r="A131" s="353"/>
    </row>
    <row r="132" spans="1:1" ht="14.5" x14ac:dyDescent="0.35">
      <c r="A132" s="353"/>
    </row>
    <row r="133" spans="1:1" ht="14.5" x14ac:dyDescent="0.35">
      <c r="A133" s="353"/>
    </row>
    <row r="134" spans="1:1" ht="14.5" x14ac:dyDescent="0.35">
      <c r="A134" s="353"/>
    </row>
    <row r="135" spans="1:1" ht="14.5" x14ac:dyDescent="0.35">
      <c r="A135" s="353"/>
    </row>
    <row r="136" spans="1:1" ht="14.5" x14ac:dyDescent="0.35">
      <c r="A136" s="353"/>
    </row>
    <row r="137" spans="1:1" ht="14.5" x14ac:dyDescent="0.35">
      <c r="A137" s="353"/>
    </row>
    <row r="138" spans="1:1" ht="14.5" x14ac:dyDescent="0.35">
      <c r="A138" s="353"/>
    </row>
    <row r="139" spans="1:1" ht="14.5" x14ac:dyDescent="0.35">
      <c r="A139" s="353"/>
    </row>
    <row r="140" spans="1:1" ht="14.5" x14ac:dyDescent="0.35">
      <c r="A140" s="353"/>
    </row>
    <row r="141" spans="1:1" ht="14.5" x14ac:dyDescent="0.35">
      <c r="A141" s="353"/>
    </row>
    <row r="142" spans="1:1" ht="14.5" x14ac:dyDescent="0.35">
      <c r="A142" s="353"/>
    </row>
    <row r="143" spans="1:1" ht="14.5" x14ac:dyDescent="0.35">
      <c r="A143" s="353"/>
    </row>
    <row r="144" spans="1:1" ht="14.5" x14ac:dyDescent="0.35">
      <c r="A144" s="353"/>
    </row>
    <row r="145" spans="1:1" ht="14.5" x14ac:dyDescent="0.35">
      <c r="A145" s="353"/>
    </row>
    <row r="146" spans="1:1" ht="14.5" x14ac:dyDescent="0.35">
      <c r="A146" s="353"/>
    </row>
    <row r="147" spans="1:1" ht="14.5" x14ac:dyDescent="0.35">
      <c r="A147" s="353"/>
    </row>
    <row r="148" spans="1:1" ht="14.5" x14ac:dyDescent="0.35">
      <c r="A148" s="353"/>
    </row>
    <row r="149" spans="1:1" ht="14.5" x14ac:dyDescent="0.35">
      <c r="A149" s="353"/>
    </row>
    <row r="150" spans="1:1" ht="14.5" x14ac:dyDescent="0.35">
      <c r="A150" s="353"/>
    </row>
    <row r="151" spans="1:1" ht="14.5" x14ac:dyDescent="0.35">
      <c r="A151" s="353"/>
    </row>
    <row r="152" spans="1:1" ht="14.5" x14ac:dyDescent="0.35">
      <c r="A152" s="353"/>
    </row>
    <row r="153" spans="1:1" ht="14.5" x14ac:dyDescent="0.35">
      <c r="A153" s="353"/>
    </row>
    <row r="154" spans="1:1" ht="14.5" x14ac:dyDescent="0.35">
      <c r="A154" s="353"/>
    </row>
    <row r="155" spans="1:1" ht="14.5" x14ac:dyDescent="0.35">
      <c r="A155" s="353"/>
    </row>
    <row r="156" spans="1:1" ht="14.5" x14ac:dyDescent="0.35">
      <c r="A156" s="353"/>
    </row>
    <row r="157" spans="1:1" ht="14.5" x14ac:dyDescent="0.35">
      <c r="A157" s="353"/>
    </row>
    <row r="158" spans="1:1" ht="14.5" x14ac:dyDescent="0.35">
      <c r="A158" s="353"/>
    </row>
    <row r="159" spans="1:1" ht="14.5" x14ac:dyDescent="0.35">
      <c r="A159" s="353"/>
    </row>
    <row r="160" spans="1:1" ht="14.5" x14ac:dyDescent="0.35">
      <c r="A160" s="353"/>
    </row>
    <row r="161" spans="1:1" ht="14.5" x14ac:dyDescent="0.35">
      <c r="A161" s="353"/>
    </row>
    <row r="162" spans="1:1" ht="14.5" x14ac:dyDescent="0.35">
      <c r="A162" s="353"/>
    </row>
    <row r="163" spans="1:1" ht="14.5" x14ac:dyDescent="0.35">
      <c r="A163" s="353"/>
    </row>
    <row r="164" spans="1:1" ht="14.5" x14ac:dyDescent="0.35">
      <c r="A164" s="353"/>
    </row>
    <row r="165" spans="1:1" ht="14.5" x14ac:dyDescent="0.35">
      <c r="A165" s="353"/>
    </row>
    <row r="166" spans="1:1" ht="14.5" x14ac:dyDescent="0.35">
      <c r="A166" s="353"/>
    </row>
    <row r="167" spans="1:1" ht="14.5" x14ac:dyDescent="0.35">
      <c r="A167" s="353"/>
    </row>
    <row r="168" spans="1:1" ht="14.5" x14ac:dyDescent="0.35">
      <c r="A168" s="353"/>
    </row>
    <row r="169" spans="1:1" ht="14.5" x14ac:dyDescent="0.35">
      <c r="A169" s="353"/>
    </row>
    <row r="170" spans="1:1" ht="14.5" x14ac:dyDescent="0.35">
      <c r="A170" s="353"/>
    </row>
    <row r="171" spans="1:1" ht="14.5" x14ac:dyDescent="0.35">
      <c r="A171" s="353"/>
    </row>
    <row r="172" spans="1:1" ht="14.5" x14ac:dyDescent="0.35">
      <c r="A172" s="353"/>
    </row>
    <row r="173" spans="1:1" ht="14.5" x14ac:dyDescent="0.35">
      <c r="A173" s="353"/>
    </row>
    <row r="174" spans="1:1" ht="14.5" x14ac:dyDescent="0.35">
      <c r="A174" s="353"/>
    </row>
    <row r="175" spans="1:1" ht="14.5" x14ac:dyDescent="0.35">
      <c r="A175" s="353"/>
    </row>
    <row r="176" spans="1:1" ht="14.5" x14ac:dyDescent="0.35">
      <c r="A176" s="353"/>
    </row>
    <row r="177" spans="1:1" ht="14.5" x14ac:dyDescent="0.35">
      <c r="A177" s="353"/>
    </row>
    <row r="178" spans="1:1" ht="14.5" x14ac:dyDescent="0.35">
      <c r="A178" s="353"/>
    </row>
    <row r="179" spans="1:1" ht="14.5" x14ac:dyDescent="0.35">
      <c r="A179" s="353"/>
    </row>
    <row r="180" spans="1:1" ht="14.5" x14ac:dyDescent="0.35">
      <c r="A180" s="353"/>
    </row>
    <row r="181" spans="1:1" ht="14.5" x14ac:dyDescent="0.35">
      <c r="A181" s="353"/>
    </row>
    <row r="182" spans="1:1" ht="14.5" x14ac:dyDescent="0.35">
      <c r="A182" s="353"/>
    </row>
    <row r="183" spans="1:1" ht="14.5" x14ac:dyDescent="0.35">
      <c r="A183" s="353"/>
    </row>
    <row r="184" spans="1:1" ht="14.5" x14ac:dyDescent="0.35">
      <c r="A184" s="353"/>
    </row>
    <row r="185" spans="1:1" ht="14.5" x14ac:dyDescent="0.35">
      <c r="A185" s="353"/>
    </row>
    <row r="186" spans="1:1" ht="14.5" x14ac:dyDescent="0.35">
      <c r="A186" s="353"/>
    </row>
    <row r="187" spans="1:1" ht="14.5" x14ac:dyDescent="0.35">
      <c r="A187" s="353"/>
    </row>
    <row r="188" spans="1:1" ht="14.5" x14ac:dyDescent="0.35">
      <c r="A188" s="353"/>
    </row>
    <row r="189" spans="1:1" ht="14.5" x14ac:dyDescent="0.35">
      <c r="A189" s="353"/>
    </row>
    <row r="190" spans="1:1" ht="14.5" x14ac:dyDescent="0.35">
      <c r="A190" s="353"/>
    </row>
    <row r="191" spans="1:1" ht="14.5" x14ac:dyDescent="0.35">
      <c r="A191" s="353"/>
    </row>
    <row r="192" spans="1:1" ht="14.5" x14ac:dyDescent="0.35">
      <c r="A192" s="353"/>
    </row>
    <row r="193" spans="1:1" ht="14.5" x14ac:dyDescent="0.35">
      <c r="A193" s="353"/>
    </row>
    <row r="194" spans="1:1" ht="14.5" x14ac:dyDescent="0.35">
      <c r="A194" s="353"/>
    </row>
    <row r="195" spans="1:1" ht="14.5" x14ac:dyDescent="0.35">
      <c r="A195" s="353"/>
    </row>
    <row r="196" spans="1:1" ht="14.5" x14ac:dyDescent="0.35">
      <c r="A196" s="353"/>
    </row>
    <row r="197" spans="1:1" ht="14.5" x14ac:dyDescent="0.35">
      <c r="A197" s="353"/>
    </row>
    <row r="198" spans="1:1" ht="14.5" x14ac:dyDescent="0.35">
      <c r="A198" s="353"/>
    </row>
    <row r="199" spans="1:1" ht="14.5" x14ac:dyDescent="0.35">
      <c r="A199" s="353"/>
    </row>
    <row r="200" spans="1:1" ht="14.5" x14ac:dyDescent="0.35">
      <c r="A200" s="353"/>
    </row>
    <row r="201" spans="1:1" ht="14.5" x14ac:dyDescent="0.35">
      <c r="A201" s="353"/>
    </row>
    <row r="202" spans="1:1" ht="14.5" x14ac:dyDescent="0.35">
      <c r="A202" s="353"/>
    </row>
    <row r="203" spans="1:1" ht="14.5" x14ac:dyDescent="0.35">
      <c r="A203" s="353"/>
    </row>
    <row r="204" spans="1:1" ht="14.5" x14ac:dyDescent="0.35">
      <c r="A204" s="353"/>
    </row>
    <row r="205" spans="1:1" ht="14.5" x14ac:dyDescent="0.35">
      <c r="A205" s="353"/>
    </row>
    <row r="206" spans="1:1" ht="14.5" x14ac:dyDescent="0.35">
      <c r="A206" s="353"/>
    </row>
    <row r="207" spans="1:1" ht="14.5" x14ac:dyDescent="0.35">
      <c r="A207" s="353"/>
    </row>
    <row r="208" spans="1:1" ht="14.5" x14ac:dyDescent="0.35">
      <c r="A208" s="353"/>
    </row>
    <row r="209" spans="1:1" ht="14.5" x14ac:dyDescent="0.35">
      <c r="A209" s="353"/>
    </row>
    <row r="210" spans="1:1" ht="14.5" x14ac:dyDescent="0.35">
      <c r="A210" s="353"/>
    </row>
    <row r="211" spans="1:1" ht="14.5" x14ac:dyDescent="0.35">
      <c r="A211" s="353"/>
    </row>
    <row r="212" spans="1:1" ht="14.5" x14ac:dyDescent="0.35">
      <c r="A212" s="353"/>
    </row>
    <row r="213" spans="1:1" ht="14.5" x14ac:dyDescent="0.35">
      <c r="A213" s="353"/>
    </row>
    <row r="214" spans="1:1" ht="14.5" x14ac:dyDescent="0.35">
      <c r="A214" s="353"/>
    </row>
    <row r="215" spans="1:1" ht="14.5" x14ac:dyDescent="0.35">
      <c r="A215" s="353"/>
    </row>
    <row r="216" spans="1:1" ht="14.5" x14ac:dyDescent="0.35">
      <c r="A216" s="353"/>
    </row>
    <row r="217" spans="1:1" ht="14.5" x14ac:dyDescent="0.35">
      <c r="A217" s="353"/>
    </row>
    <row r="218" spans="1:1" ht="14.5" x14ac:dyDescent="0.35">
      <c r="A218" s="353"/>
    </row>
    <row r="219" spans="1:1" ht="14.5" x14ac:dyDescent="0.35">
      <c r="A219" s="353"/>
    </row>
    <row r="220" spans="1:1" ht="14.5" x14ac:dyDescent="0.35">
      <c r="A220" s="353"/>
    </row>
    <row r="221" spans="1:1" ht="14.5" x14ac:dyDescent="0.35">
      <c r="A221" s="353"/>
    </row>
    <row r="222" spans="1:1" ht="14.5" x14ac:dyDescent="0.35">
      <c r="A222" s="353"/>
    </row>
    <row r="223" spans="1:1" ht="14.5" x14ac:dyDescent="0.35">
      <c r="A223" s="353"/>
    </row>
    <row r="224" spans="1:1" ht="14.5" x14ac:dyDescent="0.35">
      <c r="A224" s="353"/>
    </row>
    <row r="225" spans="1:1" ht="14.5" x14ac:dyDescent="0.35">
      <c r="A225" s="353"/>
    </row>
    <row r="226" spans="1:1" ht="14.5" x14ac:dyDescent="0.35">
      <c r="A226" s="353"/>
    </row>
    <row r="227" spans="1:1" ht="14.5" x14ac:dyDescent="0.35">
      <c r="A227" s="353"/>
    </row>
    <row r="228" spans="1:1" ht="14.5" x14ac:dyDescent="0.35">
      <c r="A228" s="353"/>
    </row>
    <row r="229" spans="1:1" ht="14.5" x14ac:dyDescent="0.35">
      <c r="A229" s="353"/>
    </row>
    <row r="230" spans="1:1" ht="14.5" x14ac:dyDescent="0.35">
      <c r="A230" s="353"/>
    </row>
    <row r="231" spans="1:1" ht="14.5" x14ac:dyDescent="0.35">
      <c r="A231" s="353"/>
    </row>
    <row r="232" spans="1:1" ht="14.5" x14ac:dyDescent="0.35">
      <c r="A232" s="353"/>
    </row>
    <row r="233" spans="1:1" ht="14.5" x14ac:dyDescent="0.35">
      <c r="A233" s="353"/>
    </row>
    <row r="234" spans="1:1" ht="14.5" x14ac:dyDescent="0.35">
      <c r="A234" s="353"/>
    </row>
    <row r="235" spans="1:1" ht="14.5" x14ac:dyDescent="0.35">
      <c r="A235" s="353"/>
    </row>
    <row r="236" spans="1:1" ht="14.5" x14ac:dyDescent="0.35">
      <c r="A236" s="353"/>
    </row>
    <row r="237" spans="1:1" ht="14.5" x14ac:dyDescent="0.35">
      <c r="A237" s="353"/>
    </row>
    <row r="238" spans="1:1" ht="14.5" x14ac:dyDescent="0.35">
      <c r="A238" s="353"/>
    </row>
    <row r="239" spans="1:1" ht="14.5" x14ac:dyDescent="0.35">
      <c r="A239" s="353"/>
    </row>
    <row r="240" spans="1:1" ht="14.5" x14ac:dyDescent="0.35">
      <c r="A240" s="353"/>
    </row>
    <row r="241" spans="1:1" ht="14.5" x14ac:dyDescent="0.35">
      <c r="A241" s="353"/>
    </row>
    <row r="242" spans="1:1" ht="14.5" x14ac:dyDescent="0.35">
      <c r="A242" s="353"/>
    </row>
    <row r="243" spans="1:1" ht="14.5" x14ac:dyDescent="0.35">
      <c r="A243" s="353"/>
    </row>
    <row r="244" spans="1:1" ht="14.5" x14ac:dyDescent="0.35">
      <c r="A244" s="353"/>
    </row>
    <row r="245" spans="1:1" ht="14.5" x14ac:dyDescent="0.35">
      <c r="A245" s="353"/>
    </row>
    <row r="246" spans="1:1" ht="14.5" x14ac:dyDescent="0.35">
      <c r="A246" s="353"/>
    </row>
    <row r="247" spans="1:1" ht="14.5" x14ac:dyDescent="0.35">
      <c r="A247" s="353"/>
    </row>
    <row r="248" spans="1:1" ht="14.5" x14ac:dyDescent="0.35">
      <c r="A248" s="353"/>
    </row>
    <row r="249" spans="1:1" ht="14.5" x14ac:dyDescent="0.35">
      <c r="A249" s="353"/>
    </row>
    <row r="250" spans="1:1" ht="14.5" x14ac:dyDescent="0.35">
      <c r="A250" s="353"/>
    </row>
    <row r="251" spans="1:1" ht="14.5" x14ac:dyDescent="0.35">
      <c r="A251" s="353"/>
    </row>
    <row r="252" spans="1:1" ht="14.5" x14ac:dyDescent="0.35">
      <c r="A252" s="353"/>
    </row>
    <row r="253" spans="1:1" ht="14.5" x14ac:dyDescent="0.35">
      <c r="A253" s="353"/>
    </row>
    <row r="254" spans="1:1" ht="14.5" x14ac:dyDescent="0.35">
      <c r="A254" s="353"/>
    </row>
    <row r="255" spans="1:1" ht="14.5" x14ac:dyDescent="0.35">
      <c r="A255" s="353"/>
    </row>
    <row r="256" spans="1:1" ht="14.5" x14ac:dyDescent="0.35">
      <c r="A256" s="353"/>
    </row>
    <row r="257" spans="1:1" ht="14.5" x14ac:dyDescent="0.35">
      <c r="A257" s="353"/>
    </row>
    <row r="258" spans="1:1" ht="14.5" x14ac:dyDescent="0.35">
      <c r="A258" s="353"/>
    </row>
    <row r="259" spans="1:1" ht="14.5" x14ac:dyDescent="0.35">
      <c r="A259" s="353"/>
    </row>
    <row r="260" spans="1:1" ht="14.5" x14ac:dyDescent="0.35">
      <c r="A260" s="353"/>
    </row>
    <row r="261" spans="1:1" ht="14.5" x14ac:dyDescent="0.35">
      <c r="A261" s="353"/>
    </row>
    <row r="262" spans="1:1" ht="14.5" x14ac:dyDescent="0.35">
      <c r="A262" s="353"/>
    </row>
    <row r="263" spans="1:1" ht="14.5" x14ac:dyDescent="0.35">
      <c r="A263" s="353"/>
    </row>
    <row r="264" spans="1:1" ht="14.5" x14ac:dyDescent="0.35">
      <c r="A264" s="353"/>
    </row>
    <row r="265" spans="1:1" ht="14.5" x14ac:dyDescent="0.35">
      <c r="A265" s="353"/>
    </row>
    <row r="266" spans="1:1" ht="14.5" x14ac:dyDescent="0.35">
      <c r="A266" s="353"/>
    </row>
    <row r="267" spans="1:1" ht="14.5" x14ac:dyDescent="0.35">
      <c r="A267" s="353"/>
    </row>
    <row r="268" spans="1:1" ht="14.5" x14ac:dyDescent="0.35">
      <c r="A268" s="353"/>
    </row>
    <row r="269" spans="1:1" ht="14.5" x14ac:dyDescent="0.35">
      <c r="A269" s="353"/>
    </row>
    <row r="270" spans="1:1" ht="14.5" x14ac:dyDescent="0.35">
      <c r="A270" s="353"/>
    </row>
    <row r="271" spans="1:1" ht="14.5" x14ac:dyDescent="0.35">
      <c r="A271" s="353"/>
    </row>
    <row r="272" spans="1:1" ht="14.5" x14ac:dyDescent="0.35">
      <c r="A272" s="353"/>
    </row>
    <row r="273" spans="1:1" ht="14.5" x14ac:dyDescent="0.35">
      <c r="A273" s="353"/>
    </row>
    <row r="274" spans="1:1" ht="14.5" x14ac:dyDescent="0.35">
      <c r="A274" s="353"/>
    </row>
    <row r="275" spans="1:1" ht="14.5" x14ac:dyDescent="0.35">
      <c r="A275" s="353"/>
    </row>
    <row r="276" spans="1:1" ht="14.5" x14ac:dyDescent="0.35">
      <c r="A276" s="353"/>
    </row>
    <row r="277" spans="1:1" ht="14.5" x14ac:dyDescent="0.35">
      <c r="A277" s="353"/>
    </row>
    <row r="278" spans="1:1" ht="14.5" x14ac:dyDescent="0.35">
      <c r="A278" s="353"/>
    </row>
    <row r="279" spans="1:1" ht="14.5" x14ac:dyDescent="0.35">
      <c r="A279" s="353"/>
    </row>
    <row r="280" spans="1:1" ht="14.5" x14ac:dyDescent="0.35">
      <c r="A280" s="353"/>
    </row>
    <row r="281" spans="1:1" ht="14.5" x14ac:dyDescent="0.35">
      <c r="A281" s="353"/>
    </row>
    <row r="282" spans="1:1" ht="14.5" x14ac:dyDescent="0.35">
      <c r="A282" s="353"/>
    </row>
    <row r="283" spans="1:1" ht="14.5" x14ac:dyDescent="0.35">
      <c r="A283" s="353"/>
    </row>
    <row r="284" spans="1:1" ht="14.5" x14ac:dyDescent="0.35">
      <c r="A284" s="353"/>
    </row>
    <row r="285" spans="1:1" ht="14.5" x14ac:dyDescent="0.35">
      <c r="A285" s="353"/>
    </row>
    <row r="286" spans="1:1" ht="14.5" x14ac:dyDescent="0.35">
      <c r="A286" s="353"/>
    </row>
    <row r="287" spans="1:1" ht="14.5" x14ac:dyDescent="0.35">
      <c r="A287" s="353"/>
    </row>
    <row r="288" spans="1:1" ht="14.5" x14ac:dyDescent="0.35">
      <c r="A288" s="353"/>
    </row>
    <row r="289" spans="1:1" ht="14.5" x14ac:dyDescent="0.35">
      <c r="A289" s="353"/>
    </row>
    <row r="290" spans="1:1" ht="14.5" x14ac:dyDescent="0.35">
      <c r="A290" s="353"/>
    </row>
    <row r="291" spans="1:1" ht="14.5" x14ac:dyDescent="0.35">
      <c r="A291" s="353"/>
    </row>
    <row r="292" spans="1:1" ht="14.5" x14ac:dyDescent="0.35">
      <c r="A292" s="353"/>
    </row>
    <row r="293" spans="1:1" ht="14.5" x14ac:dyDescent="0.35">
      <c r="A293" s="353"/>
    </row>
    <row r="294" spans="1:1" ht="14.5" x14ac:dyDescent="0.35">
      <c r="A294" s="353"/>
    </row>
    <row r="295" spans="1:1" ht="14.5" x14ac:dyDescent="0.35">
      <c r="A295" s="353"/>
    </row>
    <row r="296" spans="1:1" ht="14.5" x14ac:dyDescent="0.35">
      <c r="A296" s="353"/>
    </row>
    <row r="297" spans="1:1" ht="14.5" x14ac:dyDescent="0.35">
      <c r="A297" s="353"/>
    </row>
    <row r="298" spans="1:1" ht="14.5" x14ac:dyDescent="0.35">
      <c r="A298" s="353"/>
    </row>
    <row r="299" spans="1:1" ht="14.5" x14ac:dyDescent="0.35">
      <c r="A299" s="353"/>
    </row>
    <row r="300" spans="1:1" ht="14.5" x14ac:dyDescent="0.35">
      <c r="A300" s="353"/>
    </row>
    <row r="301" spans="1:1" ht="14.5" x14ac:dyDescent="0.35">
      <c r="A301" s="353"/>
    </row>
    <row r="302" spans="1:1" ht="14.5" x14ac:dyDescent="0.35">
      <c r="A302" s="353"/>
    </row>
    <row r="303" spans="1:1" ht="14.5" x14ac:dyDescent="0.35">
      <c r="A303" s="353"/>
    </row>
    <row r="304" spans="1:1" ht="14.5" x14ac:dyDescent="0.35">
      <c r="A304" s="353"/>
    </row>
    <row r="305" spans="1:1" ht="14.5" x14ac:dyDescent="0.35">
      <c r="A305" s="353"/>
    </row>
    <row r="306" spans="1:1" ht="14.5" x14ac:dyDescent="0.35">
      <c r="A306" s="353"/>
    </row>
    <row r="307" spans="1:1" ht="14.5" x14ac:dyDescent="0.35">
      <c r="A307" s="353"/>
    </row>
    <row r="308" spans="1:1" ht="14.5" x14ac:dyDescent="0.35">
      <c r="A308" s="353"/>
    </row>
    <row r="309" spans="1:1" ht="14.5" x14ac:dyDescent="0.35">
      <c r="A309" s="353"/>
    </row>
    <row r="310" spans="1:1" ht="14.5" x14ac:dyDescent="0.35">
      <c r="A310" s="353"/>
    </row>
    <row r="311" spans="1:1" ht="14.5" x14ac:dyDescent="0.35">
      <c r="A311" s="353"/>
    </row>
    <row r="312" spans="1:1" ht="14.5" x14ac:dyDescent="0.35">
      <c r="A312" s="353"/>
    </row>
    <row r="313" spans="1:1" ht="14.5" x14ac:dyDescent="0.35">
      <c r="A313" s="353"/>
    </row>
    <row r="314" spans="1:1" ht="14.5" x14ac:dyDescent="0.35">
      <c r="A314" s="353"/>
    </row>
    <row r="315" spans="1:1" ht="14.5" x14ac:dyDescent="0.35">
      <c r="A315" s="353"/>
    </row>
    <row r="316" spans="1:1" ht="14.5" x14ac:dyDescent="0.35">
      <c r="A316" s="353"/>
    </row>
    <row r="317" spans="1:1" ht="14.5" x14ac:dyDescent="0.35">
      <c r="A317" s="353"/>
    </row>
    <row r="318" spans="1:1" ht="14.5" x14ac:dyDescent="0.35">
      <c r="A318" s="353"/>
    </row>
    <row r="319" spans="1:1" ht="14.5" x14ac:dyDescent="0.35">
      <c r="A319" s="353"/>
    </row>
    <row r="320" spans="1:1" ht="14.5" x14ac:dyDescent="0.35">
      <c r="A320" s="353"/>
    </row>
    <row r="321" spans="1:1" ht="14.5" x14ac:dyDescent="0.35">
      <c r="A321" s="353"/>
    </row>
    <row r="322" spans="1:1" ht="14.5" x14ac:dyDescent="0.35">
      <c r="A322" s="353"/>
    </row>
    <row r="323" spans="1:1" ht="14.5" x14ac:dyDescent="0.35">
      <c r="A323" s="353"/>
    </row>
    <row r="324" spans="1:1" ht="14.5" x14ac:dyDescent="0.35">
      <c r="A324" s="353"/>
    </row>
    <row r="325" spans="1:1" ht="14.5" x14ac:dyDescent="0.35">
      <c r="A325" s="353"/>
    </row>
    <row r="326" spans="1:1" ht="14.5" x14ac:dyDescent="0.35">
      <c r="A326" s="353"/>
    </row>
    <row r="327" spans="1:1" ht="14.5" x14ac:dyDescent="0.35">
      <c r="A327" s="353"/>
    </row>
    <row r="328" spans="1:1" ht="14.5" x14ac:dyDescent="0.35">
      <c r="A328" s="353"/>
    </row>
    <row r="329" spans="1:1" ht="14.5" x14ac:dyDescent="0.35">
      <c r="A329" s="353"/>
    </row>
    <row r="330" spans="1:1" ht="14.5" x14ac:dyDescent="0.35">
      <c r="A330" s="353"/>
    </row>
    <row r="331" spans="1:1" ht="14.5" x14ac:dyDescent="0.35">
      <c r="A331" s="353"/>
    </row>
    <row r="332" spans="1:1" ht="14.5" x14ac:dyDescent="0.35">
      <c r="A332" s="353"/>
    </row>
    <row r="333" spans="1:1" ht="14.5" x14ac:dyDescent="0.35">
      <c r="A333" s="353"/>
    </row>
    <row r="334" spans="1:1" ht="14.5" x14ac:dyDescent="0.35">
      <c r="A334" s="353"/>
    </row>
    <row r="335" spans="1:1" ht="14.5" x14ac:dyDescent="0.35">
      <c r="A335" s="353"/>
    </row>
    <row r="336" spans="1:1" ht="14.5" x14ac:dyDescent="0.35">
      <c r="A336" s="353"/>
    </row>
    <row r="337" spans="1:1" ht="14.5" x14ac:dyDescent="0.35">
      <c r="A337" s="353"/>
    </row>
    <row r="338" spans="1:1" ht="14.5" x14ac:dyDescent="0.35">
      <c r="A338" s="353"/>
    </row>
    <row r="339" spans="1:1" ht="14.5" x14ac:dyDescent="0.35">
      <c r="A339" s="353"/>
    </row>
    <row r="340" spans="1:1" ht="14.5" x14ac:dyDescent="0.35">
      <c r="A340" s="353"/>
    </row>
    <row r="341" spans="1:1" ht="14.5" x14ac:dyDescent="0.35">
      <c r="A341" s="353"/>
    </row>
    <row r="342" spans="1:1" ht="14.5" x14ac:dyDescent="0.35">
      <c r="A342" s="353"/>
    </row>
    <row r="343" spans="1:1" ht="14.5" x14ac:dyDescent="0.35">
      <c r="A343" s="353"/>
    </row>
    <row r="344" spans="1:1" ht="14.5" x14ac:dyDescent="0.35">
      <c r="A344" s="353"/>
    </row>
    <row r="345" spans="1:1" ht="14.5" x14ac:dyDescent="0.35">
      <c r="A345" s="353"/>
    </row>
    <row r="346" spans="1:1" ht="14.5" x14ac:dyDescent="0.35">
      <c r="A346" s="353"/>
    </row>
    <row r="347" spans="1:1" ht="14.5" x14ac:dyDescent="0.35">
      <c r="A347" s="353"/>
    </row>
    <row r="348" spans="1:1" ht="14.5" x14ac:dyDescent="0.35">
      <c r="A348" s="353"/>
    </row>
    <row r="349" spans="1:1" ht="14.5" x14ac:dyDescent="0.35">
      <c r="A349" s="353"/>
    </row>
    <row r="350" spans="1:1" ht="14.5" x14ac:dyDescent="0.35">
      <c r="A350" s="353"/>
    </row>
    <row r="351" spans="1:1" ht="14.5" x14ac:dyDescent="0.35">
      <c r="A351" s="353"/>
    </row>
    <row r="352" spans="1:1" ht="14.5" x14ac:dyDescent="0.35">
      <c r="A352" s="353"/>
    </row>
    <row r="353" spans="1:1" ht="14.5" x14ac:dyDescent="0.35">
      <c r="A353" s="353"/>
    </row>
    <row r="354" spans="1:1" ht="14.5" x14ac:dyDescent="0.35">
      <c r="A354" s="353"/>
    </row>
    <row r="355" spans="1:1" ht="14.5" x14ac:dyDescent="0.35">
      <c r="A355" s="353"/>
    </row>
    <row r="356" spans="1:1" ht="14.5" x14ac:dyDescent="0.35">
      <c r="A356" s="353"/>
    </row>
    <row r="357" spans="1:1" ht="14.5" x14ac:dyDescent="0.35">
      <c r="A357" s="353"/>
    </row>
    <row r="358" spans="1:1" ht="14.5" x14ac:dyDescent="0.35">
      <c r="A358" s="353"/>
    </row>
    <row r="359" spans="1:1" ht="14.5" x14ac:dyDescent="0.35">
      <c r="A359" s="353"/>
    </row>
    <row r="360" spans="1:1" ht="14.5" x14ac:dyDescent="0.35">
      <c r="A360" s="353"/>
    </row>
    <row r="361" spans="1:1" ht="14.5" x14ac:dyDescent="0.35">
      <c r="A361" s="353"/>
    </row>
    <row r="362" spans="1:1" ht="14.5" x14ac:dyDescent="0.35">
      <c r="A362" s="353"/>
    </row>
    <row r="363" spans="1:1" ht="14.5" x14ac:dyDescent="0.35">
      <c r="A363" s="353"/>
    </row>
    <row r="364" spans="1:1" ht="14.5" x14ac:dyDescent="0.35">
      <c r="A364" s="353"/>
    </row>
    <row r="365" spans="1:1" ht="14.5" x14ac:dyDescent="0.35">
      <c r="A365" s="353"/>
    </row>
    <row r="366" spans="1:1" ht="14.5" x14ac:dyDescent="0.35">
      <c r="A366" s="353"/>
    </row>
    <row r="367" spans="1:1" ht="14.5" x14ac:dyDescent="0.35">
      <c r="A367" s="353"/>
    </row>
    <row r="368" spans="1:1" ht="14.5" x14ac:dyDescent="0.35">
      <c r="A368" s="353"/>
    </row>
    <row r="369" spans="1:1" ht="14.5" x14ac:dyDescent="0.35">
      <c r="A369" s="353"/>
    </row>
    <row r="370" spans="1:1" ht="14.5" x14ac:dyDescent="0.35">
      <c r="A370" s="353"/>
    </row>
    <row r="371" spans="1:1" ht="14.5" x14ac:dyDescent="0.35">
      <c r="A371" s="353"/>
    </row>
    <row r="372" spans="1:1" ht="14.5" x14ac:dyDescent="0.35">
      <c r="A372" s="353"/>
    </row>
    <row r="373" spans="1:1" ht="14.5" x14ac:dyDescent="0.35">
      <c r="A373" s="353"/>
    </row>
    <row r="374" spans="1:1" ht="14.5" x14ac:dyDescent="0.35">
      <c r="A374" s="353"/>
    </row>
    <row r="375" spans="1:1" ht="14.5" x14ac:dyDescent="0.35">
      <c r="A375" s="353"/>
    </row>
    <row r="376" spans="1:1" ht="14.5" x14ac:dyDescent="0.35">
      <c r="A376" s="353"/>
    </row>
    <row r="377" spans="1:1" ht="14.5" x14ac:dyDescent="0.35">
      <c r="A377" s="353"/>
    </row>
    <row r="378" spans="1:1" ht="14.5" x14ac:dyDescent="0.35">
      <c r="A378" s="353"/>
    </row>
    <row r="379" spans="1:1" ht="14.5" x14ac:dyDescent="0.35">
      <c r="A379" s="353"/>
    </row>
    <row r="380" spans="1:1" ht="14.5" x14ac:dyDescent="0.35">
      <c r="A380" s="353"/>
    </row>
    <row r="381" spans="1:1" ht="14.5" x14ac:dyDescent="0.35">
      <c r="A381" s="353"/>
    </row>
    <row r="382" spans="1:1" ht="14.5" x14ac:dyDescent="0.35">
      <c r="A382" s="353"/>
    </row>
    <row r="383" spans="1:1" ht="14.5" x14ac:dyDescent="0.35">
      <c r="A383" s="353"/>
    </row>
    <row r="384" spans="1:1" ht="14.5" x14ac:dyDescent="0.35">
      <c r="A384" s="353"/>
    </row>
    <row r="385" spans="1:1" ht="14.5" x14ac:dyDescent="0.35">
      <c r="A385" s="353"/>
    </row>
    <row r="386" spans="1:1" ht="14.5" x14ac:dyDescent="0.35">
      <c r="A386" s="353"/>
    </row>
    <row r="387" spans="1:1" ht="14.5" x14ac:dyDescent="0.35">
      <c r="A387" s="353"/>
    </row>
    <row r="388" spans="1:1" ht="14.5" x14ac:dyDescent="0.35">
      <c r="A388" s="353"/>
    </row>
    <row r="389" spans="1:1" ht="14.5" x14ac:dyDescent="0.35">
      <c r="A389" s="353"/>
    </row>
    <row r="390" spans="1:1" ht="14.5" x14ac:dyDescent="0.35">
      <c r="A390" s="353"/>
    </row>
    <row r="391" spans="1:1" ht="14.5" x14ac:dyDescent="0.35">
      <c r="A391" s="353"/>
    </row>
    <row r="392" spans="1:1" ht="14.5" x14ac:dyDescent="0.35">
      <c r="A392" s="353"/>
    </row>
    <row r="393" spans="1:1" ht="14.5" x14ac:dyDescent="0.35">
      <c r="A393" s="353"/>
    </row>
    <row r="394" spans="1:1" ht="14.5" x14ac:dyDescent="0.35">
      <c r="A394" s="353"/>
    </row>
    <row r="395" spans="1:1" ht="14.5" x14ac:dyDescent="0.35">
      <c r="A395" s="353"/>
    </row>
    <row r="396" spans="1:1" ht="14.5" x14ac:dyDescent="0.35">
      <c r="A396" s="353"/>
    </row>
    <row r="397" spans="1:1" ht="14.5" x14ac:dyDescent="0.35">
      <c r="A397" s="353"/>
    </row>
    <row r="398" spans="1:1" ht="14.5" x14ac:dyDescent="0.35">
      <c r="A398" s="353"/>
    </row>
    <row r="399" spans="1:1" ht="14.5" x14ac:dyDescent="0.35">
      <c r="A399" s="353"/>
    </row>
    <row r="400" spans="1:1" ht="14.5" x14ac:dyDescent="0.35">
      <c r="A400" s="353"/>
    </row>
    <row r="401" spans="1:1" ht="14.5" x14ac:dyDescent="0.35">
      <c r="A401" s="353"/>
    </row>
    <row r="402" spans="1:1" ht="14.5" x14ac:dyDescent="0.35">
      <c r="A402" s="353"/>
    </row>
    <row r="403" spans="1:1" ht="14.5" x14ac:dyDescent="0.35">
      <c r="A403" s="353"/>
    </row>
    <row r="404" spans="1:1" ht="14.5" x14ac:dyDescent="0.35">
      <c r="A404" s="353"/>
    </row>
    <row r="405" spans="1:1" ht="14.5" x14ac:dyDescent="0.35">
      <c r="A405" s="353"/>
    </row>
    <row r="406" spans="1:1" ht="14.5" x14ac:dyDescent="0.35">
      <c r="A406" s="353"/>
    </row>
    <row r="407" spans="1:1" ht="14.5" x14ac:dyDescent="0.35">
      <c r="A407" s="353"/>
    </row>
    <row r="408" spans="1:1" ht="14.5" x14ac:dyDescent="0.35">
      <c r="A408" s="353"/>
    </row>
    <row r="409" spans="1:1" ht="14.5" x14ac:dyDescent="0.35">
      <c r="A409" s="353"/>
    </row>
    <row r="410" spans="1:1" ht="14.5" x14ac:dyDescent="0.35">
      <c r="A410" s="353"/>
    </row>
    <row r="411" spans="1:1" ht="14.5" x14ac:dyDescent="0.35">
      <c r="A411" s="353"/>
    </row>
    <row r="412" spans="1:1" ht="14.5" x14ac:dyDescent="0.35">
      <c r="A412" s="353"/>
    </row>
    <row r="413" spans="1:1" ht="14.5" x14ac:dyDescent="0.35">
      <c r="A413" s="353"/>
    </row>
    <row r="414" spans="1:1" ht="14.5" x14ac:dyDescent="0.35">
      <c r="A414" s="353"/>
    </row>
    <row r="415" spans="1:1" ht="14.5" x14ac:dyDescent="0.35">
      <c r="A415" s="353"/>
    </row>
    <row r="416" spans="1:1" ht="14.5" x14ac:dyDescent="0.35">
      <c r="A416" s="353"/>
    </row>
    <row r="417" spans="1:1" ht="14.5" x14ac:dyDescent="0.35">
      <c r="A417" s="353"/>
    </row>
    <row r="418" spans="1:1" ht="14.5" x14ac:dyDescent="0.35">
      <c r="A418" s="353"/>
    </row>
    <row r="419" spans="1:1" ht="14.5" x14ac:dyDescent="0.35">
      <c r="A419" s="353"/>
    </row>
    <row r="420" spans="1:1" ht="14.5" x14ac:dyDescent="0.35">
      <c r="A420" s="353"/>
    </row>
    <row r="421" spans="1:1" ht="14.5" x14ac:dyDescent="0.35">
      <c r="A421" s="353"/>
    </row>
    <row r="422" spans="1:1" ht="14.5" x14ac:dyDescent="0.35">
      <c r="A422" s="353"/>
    </row>
    <row r="423" spans="1:1" ht="14.5" x14ac:dyDescent="0.35">
      <c r="A423" s="353"/>
    </row>
    <row r="424" spans="1:1" ht="14.5" x14ac:dyDescent="0.35">
      <c r="A424" s="353"/>
    </row>
    <row r="425" spans="1:1" ht="14.5" x14ac:dyDescent="0.35">
      <c r="A425" s="353"/>
    </row>
    <row r="426" spans="1:1" ht="14.5" x14ac:dyDescent="0.35">
      <c r="A426" s="353"/>
    </row>
    <row r="427" spans="1:1" ht="14.5" x14ac:dyDescent="0.35">
      <c r="A427" s="353"/>
    </row>
    <row r="428" spans="1:1" ht="14.5" x14ac:dyDescent="0.35">
      <c r="A428" s="353"/>
    </row>
    <row r="429" spans="1:1" ht="14.5" x14ac:dyDescent="0.35">
      <c r="A429" s="353"/>
    </row>
    <row r="430" spans="1:1" ht="14.5" x14ac:dyDescent="0.35">
      <c r="A430" s="353"/>
    </row>
    <row r="431" spans="1:1" ht="14.5" x14ac:dyDescent="0.35">
      <c r="A431" s="353"/>
    </row>
    <row r="432" spans="1:1" ht="14.5" x14ac:dyDescent="0.35">
      <c r="A432" s="353"/>
    </row>
    <row r="433" spans="1:1" ht="14.5" x14ac:dyDescent="0.35">
      <c r="A433" s="353"/>
    </row>
    <row r="434" spans="1:1" ht="14.5" x14ac:dyDescent="0.35">
      <c r="A434" s="353"/>
    </row>
    <row r="435" spans="1:1" ht="14.5" x14ac:dyDescent="0.35">
      <c r="A435" s="353"/>
    </row>
    <row r="436" spans="1:1" ht="14.5" x14ac:dyDescent="0.35">
      <c r="A436" s="353"/>
    </row>
    <row r="437" spans="1:1" ht="14.5" x14ac:dyDescent="0.35">
      <c r="A437" s="353"/>
    </row>
    <row r="438" spans="1:1" ht="14.5" x14ac:dyDescent="0.35">
      <c r="A438" s="353"/>
    </row>
    <row r="439" spans="1:1" ht="14.5" x14ac:dyDescent="0.35">
      <c r="A439" s="353"/>
    </row>
    <row r="440" spans="1:1" ht="14.5" x14ac:dyDescent="0.35">
      <c r="A440" s="353"/>
    </row>
    <row r="441" spans="1:1" ht="14.5" x14ac:dyDescent="0.35">
      <c r="A441" s="353"/>
    </row>
    <row r="442" spans="1:1" ht="14.5" x14ac:dyDescent="0.35">
      <c r="A442" s="353"/>
    </row>
    <row r="443" spans="1:1" ht="14.5" x14ac:dyDescent="0.35">
      <c r="A443" s="353"/>
    </row>
    <row r="444" spans="1:1" ht="14.5" x14ac:dyDescent="0.35">
      <c r="A444" s="353"/>
    </row>
    <row r="445" spans="1:1" ht="14.5" x14ac:dyDescent="0.35">
      <c r="A445" s="353"/>
    </row>
    <row r="446" spans="1:1" ht="14.5" x14ac:dyDescent="0.35">
      <c r="A446" s="353"/>
    </row>
    <row r="447" spans="1:1" ht="14.5" x14ac:dyDescent="0.35">
      <c r="A447" s="353"/>
    </row>
    <row r="448" spans="1:1" ht="14.5" x14ac:dyDescent="0.35">
      <c r="A448" s="353"/>
    </row>
    <row r="449" spans="1:1" ht="14.5" x14ac:dyDescent="0.35">
      <c r="A449" s="353"/>
    </row>
    <row r="450" spans="1:1" ht="14.5" x14ac:dyDescent="0.35">
      <c r="A450" s="353"/>
    </row>
    <row r="451" spans="1:1" ht="14.5" x14ac:dyDescent="0.35">
      <c r="A451" s="353"/>
    </row>
    <row r="452" spans="1:1" ht="14.5" x14ac:dyDescent="0.35">
      <c r="A452" s="353"/>
    </row>
    <row r="453" spans="1:1" ht="14.5" x14ac:dyDescent="0.35">
      <c r="A453" s="353"/>
    </row>
    <row r="454" spans="1:1" ht="14.5" x14ac:dyDescent="0.35">
      <c r="A454" s="353"/>
    </row>
    <row r="455" spans="1:1" ht="14.5" x14ac:dyDescent="0.35">
      <c r="A455" s="353"/>
    </row>
    <row r="456" spans="1:1" ht="14.5" x14ac:dyDescent="0.35">
      <c r="A456" s="353"/>
    </row>
    <row r="457" spans="1:1" ht="14.5" x14ac:dyDescent="0.35">
      <c r="A457" s="353"/>
    </row>
    <row r="458" spans="1:1" ht="14.5" x14ac:dyDescent="0.35">
      <c r="A458" s="353"/>
    </row>
    <row r="459" spans="1:1" ht="14.5" x14ac:dyDescent="0.35">
      <c r="A459" s="353"/>
    </row>
    <row r="460" spans="1:1" ht="14.5" x14ac:dyDescent="0.35">
      <c r="A460" s="353"/>
    </row>
    <row r="461" spans="1:1" ht="14.5" x14ac:dyDescent="0.35">
      <c r="A461" s="353"/>
    </row>
    <row r="462" spans="1:1" ht="14.5" x14ac:dyDescent="0.35">
      <c r="A462" s="353"/>
    </row>
    <row r="463" spans="1:1" ht="14.5" x14ac:dyDescent="0.35">
      <c r="A463" s="353"/>
    </row>
    <row r="464" spans="1:1" ht="14.5" x14ac:dyDescent="0.35">
      <c r="A464" s="353"/>
    </row>
    <row r="465" spans="1:1" ht="14.5" x14ac:dyDescent="0.35">
      <c r="A465" s="353"/>
    </row>
    <row r="466" spans="1:1" ht="14.5" x14ac:dyDescent="0.35">
      <c r="A466" s="353"/>
    </row>
    <row r="467" spans="1:1" ht="14.5" x14ac:dyDescent="0.35">
      <c r="A467" s="353"/>
    </row>
    <row r="468" spans="1:1" ht="14.5" x14ac:dyDescent="0.35">
      <c r="A468" s="353"/>
    </row>
    <row r="469" spans="1:1" ht="14.5" x14ac:dyDescent="0.35">
      <c r="A469" s="353"/>
    </row>
    <row r="470" spans="1:1" ht="14.5" x14ac:dyDescent="0.35">
      <c r="A470" s="353"/>
    </row>
    <row r="471" spans="1:1" ht="14.5" x14ac:dyDescent="0.35">
      <c r="A471" s="353"/>
    </row>
    <row r="472" spans="1:1" ht="14.5" x14ac:dyDescent="0.35">
      <c r="A472" s="353"/>
    </row>
    <row r="473" spans="1:1" ht="14.5" x14ac:dyDescent="0.35">
      <c r="A473" s="353"/>
    </row>
    <row r="474" spans="1:1" ht="14.5" x14ac:dyDescent="0.35">
      <c r="A474" s="353"/>
    </row>
    <row r="475" spans="1:1" ht="14.5" x14ac:dyDescent="0.35">
      <c r="A475" s="353"/>
    </row>
    <row r="476" spans="1:1" ht="14.5" x14ac:dyDescent="0.35">
      <c r="A476" s="353"/>
    </row>
    <row r="477" spans="1:1" ht="14.5" x14ac:dyDescent="0.35">
      <c r="A477" s="353"/>
    </row>
    <row r="478" spans="1:1" ht="14.5" x14ac:dyDescent="0.35">
      <c r="A478" s="353"/>
    </row>
    <row r="479" spans="1:1" ht="14.5" x14ac:dyDescent="0.35">
      <c r="A479" s="353"/>
    </row>
    <row r="480" spans="1:1" ht="14.5" x14ac:dyDescent="0.35">
      <c r="A480" s="353"/>
    </row>
    <row r="481" spans="1:1" ht="14.5" x14ac:dyDescent="0.35">
      <c r="A481" s="353"/>
    </row>
    <row r="482" spans="1:1" ht="14.5" x14ac:dyDescent="0.35">
      <c r="A482" s="353"/>
    </row>
    <row r="483" spans="1:1" ht="14.5" x14ac:dyDescent="0.35">
      <c r="A483" s="353"/>
    </row>
    <row r="484" spans="1:1" ht="14.5" x14ac:dyDescent="0.35">
      <c r="A484" s="353"/>
    </row>
    <row r="485" spans="1:1" ht="14.5" x14ac:dyDescent="0.35">
      <c r="A485" s="353"/>
    </row>
    <row r="486" spans="1:1" ht="14.5" x14ac:dyDescent="0.35">
      <c r="A486" s="353"/>
    </row>
    <row r="487" spans="1:1" ht="14.5" x14ac:dyDescent="0.35">
      <c r="A487" s="353"/>
    </row>
    <row r="488" spans="1:1" ht="14.5" x14ac:dyDescent="0.35">
      <c r="A488" s="353"/>
    </row>
    <row r="489" spans="1:1" ht="14.5" x14ac:dyDescent="0.35">
      <c r="A489" s="353"/>
    </row>
    <row r="490" spans="1:1" ht="14.5" x14ac:dyDescent="0.35">
      <c r="A490" s="353"/>
    </row>
    <row r="491" spans="1:1" ht="14.5" x14ac:dyDescent="0.35">
      <c r="A491" s="353"/>
    </row>
    <row r="492" spans="1:1" ht="14.5" x14ac:dyDescent="0.35">
      <c r="A492" s="353"/>
    </row>
    <row r="493" spans="1:1" ht="14.5" x14ac:dyDescent="0.35">
      <c r="A493" s="353"/>
    </row>
    <row r="494" spans="1:1" ht="14.5" x14ac:dyDescent="0.35">
      <c r="A494" s="353"/>
    </row>
    <row r="495" spans="1:1" ht="14.5" x14ac:dyDescent="0.35">
      <c r="A495" s="353"/>
    </row>
    <row r="496" spans="1:1" ht="14.5" x14ac:dyDescent="0.35">
      <c r="A496" s="353"/>
    </row>
    <row r="497" spans="1:1" ht="14.5" x14ac:dyDescent="0.35">
      <c r="A497" s="353"/>
    </row>
    <row r="498" spans="1:1" ht="14.5" x14ac:dyDescent="0.35">
      <c r="A498" s="353"/>
    </row>
    <row r="499" spans="1:1" ht="14.5" x14ac:dyDescent="0.35">
      <c r="A499" s="353"/>
    </row>
    <row r="500" spans="1:1" ht="14.5" x14ac:dyDescent="0.35">
      <c r="A500" s="353"/>
    </row>
    <row r="501" spans="1:1" ht="14.5" x14ac:dyDescent="0.35">
      <c r="A501" s="353"/>
    </row>
    <row r="502" spans="1:1" ht="14.5" x14ac:dyDescent="0.35">
      <c r="A502" s="353"/>
    </row>
    <row r="503" spans="1:1" ht="14.5" x14ac:dyDescent="0.35">
      <c r="A503" s="353"/>
    </row>
    <row r="504" spans="1:1" ht="14.5" x14ac:dyDescent="0.35">
      <c r="A504" s="353"/>
    </row>
    <row r="505" spans="1:1" ht="14.5" x14ac:dyDescent="0.35">
      <c r="A505" s="353"/>
    </row>
    <row r="506" spans="1:1" ht="14.5" x14ac:dyDescent="0.35">
      <c r="A506" s="353"/>
    </row>
    <row r="507" spans="1:1" ht="14.5" x14ac:dyDescent="0.35">
      <c r="A507" s="353"/>
    </row>
    <row r="508" spans="1:1" ht="14.5" x14ac:dyDescent="0.35">
      <c r="A508" s="353"/>
    </row>
    <row r="509" spans="1:1" ht="14.5" x14ac:dyDescent="0.35">
      <c r="A509" s="353"/>
    </row>
    <row r="510" spans="1:1" ht="14.5" x14ac:dyDescent="0.35">
      <c r="A510" s="353"/>
    </row>
    <row r="511" spans="1:1" ht="14.5" x14ac:dyDescent="0.35">
      <c r="A511" s="353"/>
    </row>
    <row r="512" spans="1:1" ht="14.5" x14ac:dyDescent="0.35">
      <c r="A512" s="353"/>
    </row>
    <row r="513" spans="1:1" ht="14.5" x14ac:dyDescent="0.35">
      <c r="A513" s="353"/>
    </row>
    <row r="514" spans="1:1" ht="14.5" x14ac:dyDescent="0.35">
      <c r="A514" s="353"/>
    </row>
    <row r="515" spans="1:1" ht="14.5" x14ac:dyDescent="0.35">
      <c r="A515" s="353"/>
    </row>
    <row r="516" spans="1:1" ht="14.5" x14ac:dyDescent="0.35">
      <c r="A516" s="353"/>
    </row>
    <row r="517" spans="1:1" ht="14.5" x14ac:dyDescent="0.35">
      <c r="A517" s="353"/>
    </row>
    <row r="518" spans="1:1" ht="14.5" x14ac:dyDescent="0.35">
      <c r="A518" s="353"/>
    </row>
    <row r="519" spans="1:1" ht="14.5" x14ac:dyDescent="0.35">
      <c r="A519" s="353"/>
    </row>
    <row r="520" spans="1:1" ht="14.5" x14ac:dyDescent="0.35">
      <c r="A520" s="353"/>
    </row>
    <row r="521" spans="1:1" ht="14.5" x14ac:dyDescent="0.35">
      <c r="A521" s="353"/>
    </row>
    <row r="522" spans="1:1" ht="14.5" x14ac:dyDescent="0.35">
      <c r="A522" s="353"/>
    </row>
    <row r="523" spans="1:1" ht="14.5" x14ac:dyDescent="0.35">
      <c r="A523" s="353"/>
    </row>
    <row r="524" spans="1:1" ht="14.5" x14ac:dyDescent="0.35">
      <c r="A524" s="353"/>
    </row>
    <row r="525" spans="1:1" ht="14.5" x14ac:dyDescent="0.35">
      <c r="A525" s="353"/>
    </row>
    <row r="526" spans="1:1" ht="14.5" x14ac:dyDescent="0.35">
      <c r="A526" s="353"/>
    </row>
    <row r="527" spans="1:1" ht="14.5" x14ac:dyDescent="0.35">
      <c r="A527" s="353"/>
    </row>
    <row r="528" spans="1:1" ht="14.5" x14ac:dyDescent="0.35">
      <c r="A528" s="353"/>
    </row>
    <row r="529" spans="1:1" ht="14.5" x14ac:dyDescent="0.35">
      <c r="A529" s="353"/>
    </row>
    <row r="530" spans="1:1" ht="14.5" x14ac:dyDescent="0.35">
      <c r="A530" s="353"/>
    </row>
    <row r="531" spans="1:1" ht="14.5" x14ac:dyDescent="0.35">
      <c r="A531" s="353"/>
    </row>
    <row r="532" spans="1:1" ht="14.5" x14ac:dyDescent="0.35">
      <c r="A532" s="353"/>
    </row>
    <row r="533" spans="1:1" ht="14.5" x14ac:dyDescent="0.35">
      <c r="A533" s="353"/>
    </row>
    <row r="534" spans="1:1" ht="14.5" x14ac:dyDescent="0.35">
      <c r="A534" s="353"/>
    </row>
    <row r="535" spans="1:1" ht="14.5" x14ac:dyDescent="0.35">
      <c r="A535" s="353"/>
    </row>
    <row r="536" spans="1:1" ht="14.5" x14ac:dyDescent="0.35">
      <c r="A536" s="353"/>
    </row>
    <row r="537" spans="1:1" ht="14.5" x14ac:dyDescent="0.35">
      <c r="A537" s="353"/>
    </row>
    <row r="538" spans="1:1" ht="14.5" x14ac:dyDescent="0.35">
      <c r="A538" s="353"/>
    </row>
    <row r="539" spans="1:1" ht="14.5" x14ac:dyDescent="0.35">
      <c r="A539" s="353"/>
    </row>
    <row r="540" spans="1:1" ht="14.5" x14ac:dyDescent="0.35">
      <c r="A540" s="353"/>
    </row>
    <row r="541" spans="1:1" ht="14.5" x14ac:dyDescent="0.35">
      <c r="A541" s="353"/>
    </row>
    <row r="542" spans="1:1" ht="14.5" x14ac:dyDescent="0.35">
      <c r="A542" s="353"/>
    </row>
    <row r="543" spans="1:1" ht="14.5" x14ac:dyDescent="0.35">
      <c r="A543" s="353"/>
    </row>
    <row r="544" spans="1:1" ht="14.5" x14ac:dyDescent="0.35">
      <c r="A544" s="353"/>
    </row>
    <row r="545" spans="1:1" ht="14.5" x14ac:dyDescent="0.35">
      <c r="A545" s="353"/>
    </row>
    <row r="546" spans="1:1" ht="14.5" x14ac:dyDescent="0.35">
      <c r="A546" s="353"/>
    </row>
    <row r="547" spans="1:1" ht="14.5" x14ac:dyDescent="0.35">
      <c r="A547" s="353"/>
    </row>
    <row r="548" spans="1:1" ht="14.5" x14ac:dyDescent="0.35">
      <c r="A548" s="353"/>
    </row>
    <row r="549" spans="1:1" ht="14.5" x14ac:dyDescent="0.35">
      <c r="A549" s="353"/>
    </row>
    <row r="550" spans="1:1" ht="14.5" x14ac:dyDescent="0.35">
      <c r="A550" s="353"/>
    </row>
    <row r="551" spans="1:1" ht="14.5" x14ac:dyDescent="0.35">
      <c r="A551" s="353"/>
    </row>
    <row r="552" spans="1:1" ht="14.5" x14ac:dyDescent="0.35">
      <c r="A552" s="353"/>
    </row>
    <row r="553" spans="1:1" ht="14.5" x14ac:dyDescent="0.35">
      <c r="A553" s="353"/>
    </row>
    <row r="554" spans="1:1" ht="14.5" x14ac:dyDescent="0.35">
      <c r="A554" s="353"/>
    </row>
    <row r="555" spans="1:1" ht="14.5" x14ac:dyDescent="0.35">
      <c r="A555" s="353"/>
    </row>
    <row r="556" spans="1:1" ht="14.5" x14ac:dyDescent="0.35">
      <c r="A556" s="353"/>
    </row>
    <row r="557" spans="1:1" ht="14.5" x14ac:dyDescent="0.35">
      <c r="A557" s="353"/>
    </row>
    <row r="558" spans="1:1" ht="14.5" x14ac:dyDescent="0.35">
      <c r="A558" s="353"/>
    </row>
    <row r="559" spans="1:1" ht="14.5" x14ac:dyDescent="0.35">
      <c r="A559" s="353"/>
    </row>
    <row r="560" spans="1:1" ht="14.5" x14ac:dyDescent="0.35">
      <c r="A560" s="353"/>
    </row>
    <row r="561" spans="1:1" ht="14.5" x14ac:dyDescent="0.35">
      <c r="A561" s="353"/>
    </row>
    <row r="562" spans="1:1" ht="14.5" x14ac:dyDescent="0.35">
      <c r="A562" s="353"/>
    </row>
    <row r="563" spans="1:1" ht="14.5" x14ac:dyDescent="0.35">
      <c r="A563" s="353"/>
    </row>
    <row r="564" spans="1:1" ht="14.5" x14ac:dyDescent="0.35">
      <c r="A564" s="353"/>
    </row>
    <row r="565" spans="1:1" ht="14.5" x14ac:dyDescent="0.35">
      <c r="A565" s="353"/>
    </row>
    <row r="566" spans="1:1" ht="14.5" x14ac:dyDescent="0.35">
      <c r="A566" s="353"/>
    </row>
    <row r="567" spans="1:1" ht="14.5" x14ac:dyDescent="0.35">
      <c r="A567" s="353"/>
    </row>
    <row r="568" spans="1:1" ht="14.5" x14ac:dyDescent="0.35">
      <c r="A568" s="353"/>
    </row>
    <row r="569" spans="1:1" ht="14.5" x14ac:dyDescent="0.35">
      <c r="A569" s="353"/>
    </row>
    <row r="570" spans="1:1" ht="14.5" x14ac:dyDescent="0.35">
      <c r="A570" s="353"/>
    </row>
    <row r="571" spans="1:1" ht="14.5" x14ac:dyDescent="0.35">
      <c r="A571" s="353"/>
    </row>
    <row r="572" spans="1:1" ht="14.5" x14ac:dyDescent="0.35">
      <c r="A572" s="353"/>
    </row>
    <row r="573" spans="1:1" ht="14.5" x14ac:dyDescent="0.35">
      <c r="A573" s="353"/>
    </row>
    <row r="574" spans="1:1" ht="14.5" x14ac:dyDescent="0.35">
      <c r="A574" s="353"/>
    </row>
    <row r="575" spans="1:1" ht="14.5" x14ac:dyDescent="0.35">
      <c r="A575" s="353"/>
    </row>
    <row r="576" spans="1:1" ht="14.5" x14ac:dyDescent="0.35">
      <c r="A576" s="353"/>
    </row>
    <row r="577" spans="1:1" ht="14.5" x14ac:dyDescent="0.35">
      <c r="A577" s="353"/>
    </row>
    <row r="578" spans="1:1" ht="14.5" x14ac:dyDescent="0.35">
      <c r="A578" s="353"/>
    </row>
    <row r="579" spans="1:1" ht="14.5" x14ac:dyDescent="0.35">
      <c r="A579" s="353"/>
    </row>
    <row r="580" spans="1:1" ht="14.5" x14ac:dyDescent="0.35">
      <c r="A580" s="353"/>
    </row>
    <row r="581" spans="1:1" ht="14.5" x14ac:dyDescent="0.35">
      <c r="A581" s="353"/>
    </row>
    <row r="582" spans="1:1" ht="14.5" x14ac:dyDescent="0.35">
      <c r="A582" s="353"/>
    </row>
    <row r="583" spans="1:1" ht="14.5" x14ac:dyDescent="0.35">
      <c r="A583" s="353"/>
    </row>
    <row r="584" spans="1:1" ht="14.5" x14ac:dyDescent="0.35">
      <c r="A584" s="353"/>
    </row>
    <row r="585" spans="1:1" ht="14.5" x14ac:dyDescent="0.35">
      <c r="A585" s="353"/>
    </row>
    <row r="586" spans="1:1" ht="14.5" x14ac:dyDescent="0.35">
      <c r="A586" s="353"/>
    </row>
    <row r="587" spans="1:1" ht="14.5" x14ac:dyDescent="0.35">
      <c r="A587" s="353"/>
    </row>
    <row r="588" spans="1:1" ht="14.5" x14ac:dyDescent="0.35">
      <c r="A588" s="353"/>
    </row>
    <row r="589" spans="1:1" ht="14.5" x14ac:dyDescent="0.35">
      <c r="A589" s="353"/>
    </row>
    <row r="590" spans="1:1" ht="14.5" x14ac:dyDescent="0.35">
      <c r="A590" s="353"/>
    </row>
    <row r="591" spans="1:1" ht="14.5" x14ac:dyDescent="0.35">
      <c r="A591" s="353"/>
    </row>
    <row r="592" spans="1:1" ht="14.5" x14ac:dyDescent="0.35">
      <c r="A592" s="353"/>
    </row>
    <row r="593" spans="1:1" ht="14.5" x14ac:dyDescent="0.35">
      <c r="A593" s="353"/>
    </row>
    <row r="594" spans="1:1" ht="14.5" x14ac:dyDescent="0.35">
      <c r="A594" s="353"/>
    </row>
    <row r="595" spans="1:1" ht="14.5" x14ac:dyDescent="0.35">
      <c r="A595" s="353"/>
    </row>
    <row r="596" spans="1:1" ht="14.5" x14ac:dyDescent="0.35">
      <c r="A596" s="353"/>
    </row>
    <row r="597" spans="1:1" ht="14.5" x14ac:dyDescent="0.35">
      <c r="A597" s="353"/>
    </row>
    <row r="598" spans="1:1" ht="14.5" x14ac:dyDescent="0.35">
      <c r="A598" s="353"/>
    </row>
    <row r="599" spans="1:1" ht="14.5" x14ac:dyDescent="0.35">
      <c r="A599" s="353"/>
    </row>
    <row r="600" spans="1:1" ht="14.5" x14ac:dyDescent="0.35">
      <c r="A600" s="353"/>
    </row>
    <row r="601" spans="1:1" ht="14.5" x14ac:dyDescent="0.35">
      <c r="A601" s="353"/>
    </row>
    <row r="602" spans="1:1" ht="14.5" x14ac:dyDescent="0.35">
      <c r="A602" s="353"/>
    </row>
    <row r="603" spans="1:1" ht="14.5" x14ac:dyDescent="0.35">
      <c r="A603" s="353"/>
    </row>
    <row r="604" spans="1:1" ht="14.5" x14ac:dyDescent="0.35">
      <c r="A604" s="353"/>
    </row>
    <row r="605" spans="1:1" ht="14.5" x14ac:dyDescent="0.35">
      <c r="A605" s="353"/>
    </row>
    <row r="606" spans="1:1" ht="14.5" x14ac:dyDescent="0.35">
      <c r="A606" s="353"/>
    </row>
    <row r="607" spans="1:1" ht="14.5" x14ac:dyDescent="0.35">
      <c r="A607" s="353"/>
    </row>
    <row r="608" spans="1:1" ht="14.5" x14ac:dyDescent="0.35">
      <c r="A608" s="353"/>
    </row>
    <row r="609" spans="1:1" ht="14.5" x14ac:dyDescent="0.35">
      <c r="A609" s="353"/>
    </row>
    <row r="610" spans="1:1" ht="14.5" x14ac:dyDescent="0.35">
      <c r="A610" s="353"/>
    </row>
    <row r="611" spans="1:1" ht="14.5" x14ac:dyDescent="0.35">
      <c r="A611" s="353"/>
    </row>
    <row r="612" spans="1:1" ht="14.5" x14ac:dyDescent="0.35">
      <c r="A612" s="353"/>
    </row>
    <row r="613" spans="1:1" ht="14.5" x14ac:dyDescent="0.35">
      <c r="A613" s="353"/>
    </row>
    <row r="614" spans="1:1" ht="14.5" x14ac:dyDescent="0.35">
      <c r="A614" s="353"/>
    </row>
    <row r="615" spans="1:1" ht="14.5" x14ac:dyDescent="0.35">
      <c r="A615" s="353"/>
    </row>
    <row r="616" spans="1:1" ht="14.5" x14ac:dyDescent="0.35">
      <c r="A616" s="353"/>
    </row>
    <row r="617" spans="1:1" ht="14.5" x14ac:dyDescent="0.35">
      <c r="A617" s="353"/>
    </row>
    <row r="618" spans="1:1" ht="14.5" x14ac:dyDescent="0.35">
      <c r="A618" s="353"/>
    </row>
    <row r="619" spans="1:1" ht="14.5" x14ac:dyDescent="0.35">
      <c r="A619" s="353"/>
    </row>
    <row r="620" spans="1:1" ht="14.5" x14ac:dyDescent="0.35">
      <c r="A620" s="353"/>
    </row>
    <row r="621" spans="1:1" ht="14.5" x14ac:dyDescent="0.35">
      <c r="A621" s="353"/>
    </row>
    <row r="622" spans="1:1" ht="14.5" x14ac:dyDescent="0.35">
      <c r="A622" s="353"/>
    </row>
    <row r="623" spans="1:1" ht="14.5" x14ac:dyDescent="0.35">
      <c r="A623" s="353"/>
    </row>
    <row r="624" spans="1:1" ht="14.5" x14ac:dyDescent="0.35">
      <c r="A624" s="353"/>
    </row>
    <row r="625" spans="1:1" ht="14.5" x14ac:dyDescent="0.35">
      <c r="A625" s="353"/>
    </row>
    <row r="626" spans="1:1" ht="14.5" x14ac:dyDescent="0.35">
      <c r="A626" s="353"/>
    </row>
    <row r="627" spans="1:1" ht="14.5" x14ac:dyDescent="0.35">
      <c r="A627" s="353"/>
    </row>
    <row r="628" spans="1:1" ht="14.5" x14ac:dyDescent="0.35">
      <c r="A628" s="353"/>
    </row>
    <row r="629" spans="1:1" ht="14.5" x14ac:dyDescent="0.35">
      <c r="A629" s="353"/>
    </row>
    <row r="630" spans="1:1" ht="14.5" x14ac:dyDescent="0.35">
      <c r="A630" s="353"/>
    </row>
    <row r="631" spans="1:1" ht="14.5" x14ac:dyDescent="0.35">
      <c r="A631" s="353"/>
    </row>
    <row r="632" spans="1:1" ht="14.5" x14ac:dyDescent="0.35">
      <c r="A632" s="353"/>
    </row>
    <row r="633" spans="1:1" ht="14.5" x14ac:dyDescent="0.35">
      <c r="A633" s="353"/>
    </row>
    <row r="634" spans="1:1" ht="14.5" x14ac:dyDescent="0.35">
      <c r="A634" s="353"/>
    </row>
    <row r="635" spans="1:1" ht="14.5" x14ac:dyDescent="0.35">
      <c r="A635" s="353"/>
    </row>
    <row r="636" spans="1:1" ht="14.5" x14ac:dyDescent="0.35">
      <c r="A636" s="353"/>
    </row>
    <row r="637" spans="1:1" ht="14.5" x14ac:dyDescent="0.35">
      <c r="A637" s="353"/>
    </row>
    <row r="638" spans="1:1" ht="14.5" x14ac:dyDescent="0.35">
      <c r="A638" s="353"/>
    </row>
    <row r="639" spans="1:1" ht="14.5" x14ac:dyDescent="0.35">
      <c r="A639" s="353"/>
    </row>
    <row r="640" spans="1:1" ht="14.5" x14ac:dyDescent="0.35">
      <c r="A640" s="353"/>
    </row>
    <row r="641" spans="1:1" ht="14.5" x14ac:dyDescent="0.35">
      <c r="A641" s="353"/>
    </row>
    <row r="642" spans="1:1" ht="14.5" x14ac:dyDescent="0.35">
      <c r="A642" s="353"/>
    </row>
    <row r="643" spans="1:1" ht="14.5" x14ac:dyDescent="0.35">
      <c r="A643" s="353"/>
    </row>
    <row r="644" spans="1:1" ht="14.5" x14ac:dyDescent="0.35">
      <c r="A644" s="353"/>
    </row>
    <row r="645" spans="1:1" ht="14.5" x14ac:dyDescent="0.35">
      <c r="A645" s="353"/>
    </row>
    <row r="646" spans="1:1" ht="14.5" x14ac:dyDescent="0.35">
      <c r="A646" s="353"/>
    </row>
    <row r="647" spans="1:1" ht="14.5" x14ac:dyDescent="0.35">
      <c r="A647" s="353"/>
    </row>
    <row r="648" spans="1:1" ht="14.5" x14ac:dyDescent="0.35">
      <c r="A648" s="353"/>
    </row>
    <row r="649" spans="1:1" ht="14.5" x14ac:dyDescent="0.35">
      <c r="A649" s="353"/>
    </row>
    <row r="650" spans="1:1" ht="14.5" x14ac:dyDescent="0.35">
      <c r="A650" s="353"/>
    </row>
    <row r="651" spans="1:1" ht="14.5" x14ac:dyDescent="0.35">
      <c r="A651" s="353"/>
    </row>
    <row r="652" spans="1:1" ht="14.5" x14ac:dyDescent="0.35">
      <c r="A652" s="353"/>
    </row>
    <row r="653" spans="1:1" ht="14.5" x14ac:dyDescent="0.35">
      <c r="A653" s="353"/>
    </row>
    <row r="654" spans="1:1" ht="14.5" x14ac:dyDescent="0.35">
      <c r="A654" s="353"/>
    </row>
    <row r="655" spans="1:1" ht="14.5" x14ac:dyDescent="0.35">
      <c r="A655" s="353"/>
    </row>
    <row r="656" spans="1:1" ht="14.5" x14ac:dyDescent="0.35">
      <c r="A656" s="353"/>
    </row>
    <row r="657" spans="1:1" ht="14.5" x14ac:dyDescent="0.35">
      <c r="A657" s="353"/>
    </row>
    <row r="658" spans="1:1" ht="14.5" x14ac:dyDescent="0.35">
      <c r="A658" s="353"/>
    </row>
    <row r="659" spans="1:1" ht="14.5" x14ac:dyDescent="0.35">
      <c r="A659" s="353"/>
    </row>
    <row r="660" spans="1:1" ht="14.5" x14ac:dyDescent="0.35">
      <c r="A660" s="353"/>
    </row>
    <row r="661" spans="1:1" ht="14.5" x14ac:dyDescent="0.35">
      <c r="A661" s="353"/>
    </row>
    <row r="662" spans="1:1" ht="14.5" x14ac:dyDescent="0.35">
      <c r="A662" s="353"/>
    </row>
    <row r="663" spans="1:1" ht="14.5" x14ac:dyDescent="0.35">
      <c r="A663" s="353"/>
    </row>
    <row r="664" spans="1:1" ht="14.5" x14ac:dyDescent="0.35">
      <c r="A664" s="353"/>
    </row>
    <row r="665" spans="1:1" ht="14.5" x14ac:dyDescent="0.35">
      <c r="A665" s="353"/>
    </row>
    <row r="666" spans="1:1" ht="14.5" x14ac:dyDescent="0.35">
      <c r="A666" s="353"/>
    </row>
    <row r="667" spans="1:1" ht="14.5" x14ac:dyDescent="0.35">
      <c r="A667" s="353"/>
    </row>
    <row r="668" spans="1:1" ht="14.5" x14ac:dyDescent="0.35">
      <c r="A668" s="353"/>
    </row>
    <row r="669" spans="1:1" ht="14.5" x14ac:dyDescent="0.35">
      <c r="A669" s="353"/>
    </row>
    <row r="670" spans="1:1" ht="14.5" x14ac:dyDescent="0.35">
      <c r="A670" s="353"/>
    </row>
    <row r="671" spans="1:1" ht="14.5" x14ac:dyDescent="0.35">
      <c r="A671" s="353"/>
    </row>
    <row r="672" spans="1:1" ht="14.5" x14ac:dyDescent="0.35">
      <c r="A672" s="353"/>
    </row>
    <row r="673" spans="1:1" ht="14.5" x14ac:dyDescent="0.35">
      <c r="A673" s="353"/>
    </row>
    <row r="674" spans="1:1" ht="14.5" x14ac:dyDescent="0.35">
      <c r="A674" s="353"/>
    </row>
    <row r="675" spans="1:1" ht="14.5" x14ac:dyDescent="0.35">
      <c r="A675" s="353"/>
    </row>
    <row r="676" spans="1:1" ht="14.5" x14ac:dyDescent="0.35">
      <c r="A676" s="353"/>
    </row>
    <row r="677" spans="1:1" ht="14.5" x14ac:dyDescent="0.35">
      <c r="A677" s="353"/>
    </row>
    <row r="678" spans="1:1" ht="14.5" x14ac:dyDescent="0.35">
      <c r="A678" s="353"/>
    </row>
    <row r="679" spans="1:1" ht="14.5" x14ac:dyDescent="0.35">
      <c r="A679" s="353"/>
    </row>
    <row r="680" spans="1:1" ht="14.5" x14ac:dyDescent="0.35">
      <c r="A680" s="353"/>
    </row>
    <row r="681" spans="1:1" ht="14.5" x14ac:dyDescent="0.35">
      <c r="A681" s="353"/>
    </row>
    <row r="682" spans="1:1" ht="14.5" x14ac:dyDescent="0.35">
      <c r="A682" s="353"/>
    </row>
    <row r="683" spans="1:1" ht="14.5" x14ac:dyDescent="0.35">
      <c r="A683" s="353"/>
    </row>
    <row r="684" spans="1:1" ht="14.5" x14ac:dyDescent="0.35">
      <c r="A684" s="353"/>
    </row>
    <row r="685" spans="1:1" ht="14.5" x14ac:dyDescent="0.35">
      <c r="A685" s="353"/>
    </row>
    <row r="686" spans="1:1" ht="14.5" x14ac:dyDescent="0.35">
      <c r="A686" s="353"/>
    </row>
    <row r="687" spans="1:1" ht="14.5" x14ac:dyDescent="0.35">
      <c r="A687" s="353"/>
    </row>
    <row r="688" spans="1:1" ht="14.5" x14ac:dyDescent="0.35">
      <c r="A688" s="353"/>
    </row>
    <row r="689" spans="1:1" ht="14.5" x14ac:dyDescent="0.35">
      <c r="A689" s="353"/>
    </row>
    <row r="690" spans="1:1" ht="14.5" x14ac:dyDescent="0.35">
      <c r="A690" s="353"/>
    </row>
    <row r="691" spans="1:1" ht="14.5" x14ac:dyDescent="0.35">
      <c r="A691" s="353"/>
    </row>
    <row r="692" spans="1:1" ht="14.5" x14ac:dyDescent="0.35">
      <c r="A692" s="353"/>
    </row>
    <row r="693" spans="1:1" ht="14.5" x14ac:dyDescent="0.35">
      <c r="A693" s="353"/>
    </row>
    <row r="694" spans="1:1" ht="14.5" x14ac:dyDescent="0.35">
      <c r="A694" s="353"/>
    </row>
    <row r="695" spans="1:1" ht="14.5" x14ac:dyDescent="0.35">
      <c r="A695" s="353"/>
    </row>
    <row r="696" spans="1:1" ht="14.5" x14ac:dyDescent="0.35">
      <c r="A696" s="353"/>
    </row>
    <row r="697" spans="1:1" ht="14.5" x14ac:dyDescent="0.35">
      <c r="A697" s="353"/>
    </row>
    <row r="698" spans="1:1" ht="14.5" x14ac:dyDescent="0.35">
      <c r="A698" s="353"/>
    </row>
    <row r="699" spans="1:1" ht="14.5" x14ac:dyDescent="0.35">
      <c r="A699" s="353"/>
    </row>
    <row r="700" spans="1:1" ht="14.5" x14ac:dyDescent="0.35">
      <c r="A700" s="353"/>
    </row>
    <row r="701" spans="1:1" ht="14.5" x14ac:dyDescent="0.35">
      <c r="A701" s="353"/>
    </row>
    <row r="702" spans="1:1" ht="14.5" x14ac:dyDescent="0.35">
      <c r="A702" s="353"/>
    </row>
    <row r="703" spans="1:1" ht="14.5" x14ac:dyDescent="0.35">
      <c r="A703" s="353"/>
    </row>
    <row r="704" spans="1:1" ht="14.5" x14ac:dyDescent="0.35">
      <c r="A704" s="353"/>
    </row>
    <row r="705" spans="1:1" ht="14.5" x14ac:dyDescent="0.35">
      <c r="A705" s="353"/>
    </row>
    <row r="706" spans="1:1" ht="14.5" x14ac:dyDescent="0.35">
      <c r="A706" s="353"/>
    </row>
    <row r="707" spans="1:1" ht="14.5" x14ac:dyDescent="0.35">
      <c r="A707" s="353"/>
    </row>
    <row r="708" spans="1:1" ht="14.5" x14ac:dyDescent="0.35">
      <c r="A708" s="353"/>
    </row>
    <row r="709" spans="1:1" ht="14.5" x14ac:dyDescent="0.35">
      <c r="A709" s="353"/>
    </row>
    <row r="710" spans="1:1" ht="14.5" x14ac:dyDescent="0.35">
      <c r="A710" s="353"/>
    </row>
    <row r="711" spans="1:1" ht="14.5" x14ac:dyDescent="0.35">
      <c r="A711" s="353"/>
    </row>
    <row r="712" spans="1:1" ht="14.5" x14ac:dyDescent="0.35">
      <c r="A712" s="353"/>
    </row>
    <row r="713" spans="1:1" ht="14.5" x14ac:dyDescent="0.35">
      <c r="A713" s="353"/>
    </row>
    <row r="714" spans="1:1" ht="14.5" x14ac:dyDescent="0.35">
      <c r="A714" s="353"/>
    </row>
    <row r="715" spans="1:1" ht="14.5" x14ac:dyDescent="0.35">
      <c r="A715" s="353"/>
    </row>
    <row r="716" spans="1:1" ht="14.5" x14ac:dyDescent="0.35">
      <c r="A716" s="353"/>
    </row>
    <row r="717" spans="1:1" ht="14.5" x14ac:dyDescent="0.35">
      <c r="A717" s="353"/>
    </row>
    <row r="718" spans="1:1" ht="14.5" x14ac:dyDescent="0.35">
      <c r="A718" s="353"/>
    </row>
    <row r="719" spans="1:1" ht="14.5" x14ac:dyDescent="0.35">
      <c r="A719" s="353"/>
    </row>
    <row r="720" spans="1:1" ht="14.5" x14ac:dyDescent="0.35">
      <c r="A720" s="353"/>
    </row>
    <row r="721" spans="1:1" ht="14.5" x14ac:dyDescent="0.35">
      <c r="A721" s="353"/>
    </row>
    <row r="722" spans="1:1" ht="14.5" x14ac:dyDescent="0.35">
      <c r="A722" s="353"/>
    </row>
    <row r="723" spans="1:1" ht="14.5" x14ac:dyDescent="0.35">
      <c r="A723" s="353"/>
    </row>
    <row r="724" spans="1:1" ht="14.5" x14ac:dyDescent="0.35">
      <c r="A724" s="353"/>
    </row>
    <row r="725" spans="1:1" ht="14.5" x14ac:dyDescent="0.35">
      <c r="A725" s="353"/>
    </row>
    <row r="726" spans="1:1" ht="14.5" x14ac:dyDescent="0.35">
      <c r="A726" s="353"/>
    </row>
    <row r="727" spans="1:1" ht="14.5" x14ac:dyDescent="0.35">
      <c r="A727" s="353"/>
    </row>
    <row r="728" spans="1:1" ht="14.5" x14ac:dyDescent="0.35">
      <c r="A728" s="353"/>
    </row>
    <row r="729" spans="1:1" ht="14.5" x14ac:dyDescent="0.35">
      <c r="A729" s="353"/>
    </row>
    <row r="730" spans="1:1" ht="14.5" x14ac:dyDescent="0.35">
      <c r="A730" s="353"/>
    </row>
    <row r="731" spans="1:1" ht="14.5" x14ac:dyDescent="0.35">
      <c r="A731" s="353"/>
    </row>
    <row r="732" spans="1:1" ht="14.5" x14ac:dyDescent="0.35">
      <c r="A732" s="353"/>
    </row>
    <row r="733" spans="1:1" ht="14.5" x14ac:dyDescent="0.35">
      <c r="A733" s="353"/>
    </row>
    <row r="734" spans="1:1" ht="14.5" x14ac:dyDescent="0.35">
      <c r="A734" s="353"/>
    </row>
    <row r="735" spans="1:1" ht="14.5" x14ac:dyDescent="0.35">
      <c r="A735" s="353"/>
    </row>
    <row r="736" spans="1:1" ht="14.5" x14ac:dyDescent="0.35">
      <c r="A736" s="353"/>
    </row>
    <row r="737" spans="1:1" ht="14.5" x14ac:dyDescent="0.35">
      <c r="A737" s="353"/>
    </row>
    <row r="738" spans="1:1" ht="14.5" x14ac:dyDescent="0.35">
      <c r="A738" s="353"/>
    </row>
    <row r="739" spans="1:1" ht="14.5" x14ac:dyDescent="0.35">
      <c r="A739" s="353"/>
    </row>
    <row r="740" spans="1:1" ht="14.5" x14ac:dyDescent="0.35">
      <c r="A740" s="353"/>
    </row>
    <row r="741" spans="1:1" ht="14.5" x14ac:dyDescent="0.35">
      <c r="A741" s="353"/>
    </row>
    <row r="742" spans="1:1" ht="14.5" x14ac:dyDescent="0.35">
      <c r="A742" s="353"/>
    </row>
    <row r="743" spans="1:1" ht="14.5" x14ac:dyDescent="0.35">
      <c r="A743" s="353"/>
    </row>
    <row r="744" spans="1:1" ht="14.5" x14ac:dyDescent="0.35">
      <c r="A744" s="353"/>
    </row>
    <row r="745" spans="1:1" ht="14.5" x14ac:dyDescent="0.35">
      <c r="A745" s="353"/>
    </row>
    <row r="746" spans="1:1" ht="14.5" x14ac:dyDescent="0.35">
      <c r="A746" s="353"/>
    </row>
    <row r="747" spans="1:1" ht="14.5" x14ac:dyDescent="0.35">
      <c r="A747" s="353"/>
    </row>
    <row r="748" spans="1:1" ht="14.5" x14ac:dyDescent="0.35">
      <c r="A748" s="353"/>
    </row>
    <row r="749" spans="1:1" ht="14.5" x14ac:dyDescent="0.35">
      <c r="A749" s="353"/>
    </row>
    <row r="750" spans="1:1" ht="14.5" x14ac:dyDescent="0.35">
      <c r="A750" s="353"/>
    </row>
    <row r="751" spans="1:1" ht="14.5" x14ac:dyDescent="0.35">
      <c r="A751" s="353"/>
    </row>
    <row r="752" spans="1:1" ht="14.5" x14ac:dyDescent="0.35">
      <c r="A752" s="353"/>
    </row>
    <row r="753" spans="1:1" ht="14.5" x14ac:dyDescent="0.35">
      <c r="A753" s="353"/>
    </row>
    <row r="754" spans="1:1" ht="14.5" x14ac:dyDescent="0.35">
      <c r="A754" s="353"/>
    </row>
    <row r="755" spans="1:1" ht="14.5" x14ac:dyDescent="0.35">
      <c r="A755" s="353"/>
    </row>
    <row r="756" spans="1:1" ht="14.5" x14ac:dyDescent="0.35">
      <c r="A756" s="353"/>
    </row>
    <row r="757" spans="1:1" ht="14.5" x14ac:dyDescent="0.35">
      <c r="A757" s="353"/>
    </row>
    <row r="758" spans="1:1" ht="14.5" x14ac:dyDescent="0.35">
      <c r="A758" s="353"/>
    </row>
    <row r="759" spans="1:1" ht="14.5" x14ac:dyDescent="0.35">
      <c r="A759" s="353"/>
    </row>
    <row r="760" spans="1:1" ht="14.5" x14ac:dyDescent="0.35">
      <c r="A760" s="353"/>
    </row>
    <row r="761" spans="1:1" ht="14.5" x14ac:dyDescent="0.35">
      <c r="A761" s="353"/>
    </row>
    <row r="762" spans="1:1" ht="14.5" x14ac:dyDescent="0.35">
      <c r="A762" s="353"/>
    </row>
    <row r="763" spans="1:1" ht="14.5" x14ac:dyDescent="0.35">
      <c r="A763" s="353"/>
    </row>
    <row r="764" spans="1:1" ht="14.5" x14ac:dyDescent="0.35">
      <c r="A764" s="353"/>
    </row>
    <row r="765" spans="1:1" ht="14.5" x14ac:dyDescent="0.35">
      <c r="A765" s="353"/>
    </row>
    <row r="766" spans="1:1" ht="14.5" x14ac:dyDescent="0.35">
      <c r="A766" s="353"/>
    </row>
    <row r="767" spans="1:1" ht="14.5" x14ac:dyDescent="0.35">
      <c r="A767" s="353"/>
    </row>
    <row r="768" spans="1:1" ht="14.5" x14ac:dyDescent="0.35">
      <c r="A768" s="353"/>
    </row>
    <row r="769" spans="1:1" ht="14.5" x14ac:dyDescent="0.35">
      <c r="A769" s="353"/>
    </row>
    <row r="770" spans="1:1" ht="14.5" x14ac:dyDescent="0.35">
      <c r="A770" s="353"/>
    </row>
    <row r="771" spans="1:1" ht="14.5" x14ac:dyDescent="0.35">
      <c r="A771" s="353"/>
    </row>
    <row r="772" spans="1:1" ht="14.5" x14ac:dyDescent="0.35">
      <c r="A772" s="353"/>
    </row>
    <row r="773" spans="1:1" ht="14.5" x14ac:dyDescent="0.35">
      <c r="A773" s="353"/>
    </row>
    <row r="774" spans="1:1" ht="14.5" x14ac:dyDescent="0.35">
      <c r="A774" s="353"/>
    </row>
    <row r="775" spans="1:1" ht="14.5" x14ac:dyDescent="0.35">
      <c r="A775" s="353"/>
    </row>
    <row r="776" spans="1:1" ht="14.5" x14ac:dyDescent="0.35">
      <c r="A776" s="353"/>
    </row>
    <row r="777" spans="1:1" ht="14.5" x14ac:dyDescent="0.35">
      <c r="A777" s="353"/>
    </row>
    <row r="778" spans="1:1" ht="14.5" x14ac:dyDescent="0.35">
      <c r="A778" s="353"/>
    </row>
    <row r="779" spans="1:1" ht="14.5" x14ac:dyDescent="0.35">
      <c r="A779" s="353"/>
    </row>
    <row r="780" spans="1:1" ht="14.5" x14ac:dyDescent="0.35">
      <c r="A780" s="353"/>
    </row>
    <row r="781" spans="1:1" ht="14.5" x14ac:dyDescent="0.35">
      <c r="A781" s="353"/>
    </row>
    <row r="782" spans="1:1" ht="14.5" x14ac:dyDescent="0.35">
      <c r="A782" s="353"/>
    </row>
    <row r="783" spans="1:1" ht="14.5" x14ac:dyDescent="0.35">
      <c r="A783" s="353"/>
    </row>
    <row r="784" spans="1:1" ht="14.5" x14ac:dyDescent="0.35">
      <c r="A784" s="353"/>
    </row>
    <row r="785" spans="1:1" ht="14.5" x14ac:dyDescent="0.35">
      <c r="A785" s="353"/>
    </row>
    <row r="786" spans="1:1" ht="14.5" x14ac:dyDescent="0.35">
      <c r="A786" s="353"/>
    </row>
    <row r="787" spans="1:1" ht="14.5" x14ac:dyDescent="0.35">
      <c r="A787" s="353"/>
    </row>
    <row r="788" spans="1:1" ht="14.5" x14ac:dyDescent="0.35">
      <c r="A788" s="353"/>
    </row>
    <row r="789" spans="1:1" ht="14.5" x14ac:dyDescent="0.35">
      <c r="A789" s="353"/>
    </row>
    <row r="790" spans="1:1" ht="14.5" x14ac:dyDescent="0.35">
      <c r="A790" s="353"/>
    </row>
    <row r="791" spans="1:1" ht="14.5" x14ac:dyDescent="0.35">
      <c r="A791" s="353"/>
    </row>
    <row r="792" spans="1:1" ht="14.5" x14ac:dyDescent="0.35">
      <c r="A792" s="353"/>
    </row>
    <row r="793" spans="1:1" ht="14.5" x14ac:dyDescent="0.35">
      <c r="A793" s="353"/>
    </row>
    <row r="794" spans="1:1" ht="14.5" x14ac:dyDescent="0.35">
      <c r="A794" s="353"/>
    </row>
    <row r="795" spans="1:1" ht="14.5" x14ac:dyDescent="0.35">
      <c r="A795" s="353"/>
    </row>
    <row r="796" spans="1:1" ht="14.5" x14ac:dyDescent="0.35">
      <c r="A796" s="353"/>
    </row>
    <row r="797" spans="1:1" ht="14.5" x14ac:dyDescent="0.35">
      <c r="A797" s="353"/>
    </row>
    <row r="798" spans="1:1" ht="14.5" x14ac:dyDescent="0.35">
      <c r="A798" s="353"/>
    </row>
    <row r="799" spans="1:1" ht="14.5" x14ac:dyDescent="0.35">
      <c r="A799" s="353"/>
    </row>
    <row r="800" spans="1:1" ht="14.5" x14ac:dyDescent="0.35">
      <c r="A800" s="353"/>
    </row>
    <row r="801" spans="1:1" ht="14.5" x14ac:dyDescent="0.35">
      <c r="A801" s="353"/>
    </row>
    <row r="802" spans="1:1" ht="14.5" x14ac:dyDescent="0.35">
      <c r="A802" s="353"/>
    </row>
    <row r="803" spans="1:1" ht="14.5" x14ac:dyDescent="0.35">
      <c r="A803" s="353"/>
    </row>
    <row r="804" spans="1:1" ht="14.5" x14ac:dyDescent="0.35">
      <c r="A804" s="353"/>
    </row>
    <row r="805" spans="1:1" ht="14.5" x14ac:dyDescent="0.35">
      <c r="A805" s="353"/>
    </row>
    <row r="806" spans="1:1" ht="14.5" x14ac:dyDescent="0.35">
      <c r="A806" s="353"/>
    </row>
    <row r="807" spans="1:1" ht="14.5" x14ac:dyDescent="0.35">
      <c r="A807" s="353"/>
    </row>
    <row r="808" spans="1:1" ht="14.5" x14ac:dyDescent="0.35">
      <c r="A808" s="353"/>
    </row>
    <row r="809" spans="1:1" ht="14.5" x14ac:dyDescent="0.35">
      <c r="A809" s="353"/>
    </row>
    <row r="810" spans="1:1" ht="14.5" x14ac:dyDescent="0.35">
      <c r="A810" s="353"/>
    </row>
    <row r="811" spans="1:1" ht="14.5" x14ac:dyDescent="0.35">
      <c r="A811" s="353"/>
    </row>
    <row r="812" spans="1:1" ht="14.5" x14ac:dyDescent="0.35">
      <c r="A812" s="353"/>
    </row>
    <row r="813" spans="1:1" ht="14.5" x14ac:dyDescent="0.35">
      <c r="A813" s="353"/>
    </row>
    <row r="814" spans="1:1" ht="14.5" x14ac:dyDescent="0.35">
      <c r="A814" s="353"/>
    </row>
    <row r="815" spans="1:1" ht="14.5" x14ac:dyDescent="0.35">
      <c r="A815" s="353"/>
    </row>
    <row r="816" spans="1:1" ht="14.5" x14ac:dyDescent="0.35">
      <c r="A816" s="353"/>
    </row>
    <row r="817" spans="1:1" ht="14.5" x14ac:dyDescent="0.35">
      <c r="A817" s="353"/>
    </row>
    <row r="818" spans="1:1" ht="14.5" x14ac:dyDescent="0.35">
      <c r="A818" s="353"/>
    </row>
    <row r="819" spans="1:1" ht="14.5" x14ac:dyDescent="0.35">
      <c r="A819" s="353"/>
    </row>
    <row r="820" spans="1:1" ht="14.5" x14ac:dyDescent="0.35">
      <c r="A820" s="353"/>
    </row>
    <row r="821" spans="1:1" ht="14.5" x14ac:dyDescent="0.35">
      <c r="A821" s="353"/>
    </row>
    <row r="822" spans="1:1" ht="14.5" x14ac:dyDescent="0.35">
      <c r="A822" s="353"/>
    </row>
    <row r="823" spans="1:1" ht="14.5" x14ac:dyDescent="0.35">
      <c r="A823" s="353"/>
    </row>
    <row r="824" spans="1:1" ht="14.5" x14ac:dyDescent="0.35">
      <c r="A824" s="353"/>
    </row>
    <row r="825" spans="1:1" ht="14.5" x14ac:dyDescent="0.35">
      <c r="A825" s="353"/>
    </row>
    <row r="826" spans="1:1" ht="14.5" x14ac:dyDescent="0.35">
      <c r="A826" s="353"/>
    </row>
    <row r="827" spans="1:1" ht="14.5" x14ac:dyDescent="0.35">
      <c r="A827" s="353"/>
    </row>
    <row r="828" spans="1:1" ht="14.5" x14ac:dyDescent="0.35">
      <c r="A828" s="353"/>
    </row>
    <row r="829" spans="1:1" ht="14.5" x14ac:dyDescent="0.35">
      <c r="A829" s="353"/>
    </row>
    <row r="830" spans="1:1" ht="14.5" x14ac:dyDescent="0.35">
      <c r="A830" s="353"/>
    </row>
    <row r="831" spans="1:1" ht="14.5" x14ac:dyDescent="0.35">
      <c r="A831" s="353"/>
    </row>
    <row r="832" spans="1:1" ht="14.5" x14ac:dyDescent="0.35">
      <c r="A832" s="353"/>
    </row>
    <row r="833" spans="1:1" ht="14.5" x14ac:dyDescent="0.35">
      <c r="A833" s="353"/>
    </row>
    <row r="834" spans="1:1" ht="14.5" x14ac:dyDescent="0.35">
      <c r="A834" s="353"/>
    </row>
    <row r="835" spans="1:1" ht="14.5" x14ac:dyDescent="0.35">
      <c r="A835" s="353"/>
    </row>
    <row r="836" spans="1:1" ht="14.5" x14ac:dyDescent="0.35">
      <c r="A836" s="353"/>
    </row>
    <row r="837" spans="1:1" ht="14.5" x14ac:dyDescent="0.35">
      <c r="A837" s="353"/>
    </row>
    <row r="838" spans="1:1" ht="14.5" x14ac:dyDescent="0.35">
      <c r="A838" s="353"/>
    </row>
    <row r="839" spans="1:1" ht="14.5" x14ac:dyDescent="0.35">
      <c r="A839" s="353"/>
    </row>
    <row r="840" spans="1:1" ht="14.5" x14ac:dyDescent="0.35">
      <c r="A840" s="353"/>
    </row>
    <row r="841" spans="1:1" ht="14.5" x14ac:dyDescent="0.35">
      <c r="A841" s="353"/>
    </row>
    <row r="842" spans="1:1" ht="14.5" x14ac:dyDescent="0.35">
      <c r="A842" s="353"/>
    </row>
    <row r="843" spans="1:1" ht="14.5" x14ac:dyDescent="0.35">
      <c r="A843" s="353"/>
    </row>
    <row r="844" spans="1:1" ht="14.5" x14ac:dyDescent="0.35">
      <c r="A844" s="353"/>
    </row>
    <row r="845" spans="1:1" ht="14.5" x14ac:dyDescent="0.35">
      <c r="A845" s="353"/>
    </row>
    <row r="846" spans="1:1" ht="14.5" x14ac:dyDescent="0.35">
      <c r="A846" s="353"/>
    </row>
    <row r="847" spans="1:1" ht="14.5" x14ac:dyDescent="0.35">
      <c r="A847" s="353"/>
    </row>
    <row r="848" spans="1:1" ht="14.5" x14ac:dyDescent="0.35">
      <c r="A848" s="353"/>
    </row>
    <row r="849" spans="1:1" ht="14.5" x14ac:dyDescent="0.35">
      <c r="A849" s="353"/>
    </row>
    <row r="850" spans="1:1" ht="14.5" x14ac:dyDescent="0.35">
      <c r="A850" s="353"/>
    </row>
    <row r="851" spans="1:1" ht="14.5" x14ac:dyDescent="0.35">
      <c r="A851" s="353"/>
    </row>
    <row r="852" spans="1:1" ht="14.5" x14ac:dyDescent="0.35">
      <c r="A852" s="353"/>
    </row>
    <row r="853" spans="1:1" ht="14.5" x14ac:dyDescent="0.35">
      <c r="A853" s="353"/>
    </row>
    <row r="854" spans="1:1" ht="14.5" x14ac:dyDescent="0.35">
      <c r="A854" s="353"/>
    </row>
    <row r="855" spans="1:1" ht="14.5" x14ac:dyDescent="0.35">
      <c r="A855" s="353"/>
    </row>
    <row r="856" spans="1:1" ht="14.5" x14ac:dyDescent="0.35">
      <c r="A856" s="353"/>
    </row>
    <row r="857" spans="1:1" ht="14.5" x14ac:dyDescent="0.35">
      <c r="A857" s="353"/>
    </row>
    <row r="858" spans="1:1" ht="14.5" x14ac:dyDescent="0.35">
      <c r="A858" s="353"/>
    </row>
    <row r="859" spans="1:1" ht="14.5" x14ac:dyDescent="0.35">
      <c r="A859" s="353"/>
    </row>
    <row r="860" spans="1:1" ht="14.5" x14ac:dyDescent="0.35">
      <c r="A860" s="353"/>
    </row>
    <row r="861" spans="1:1" ht="14.5" x14ac:dyDescent="0.35">
      <c r="A861" s="353"/>
    </row>
    <row r="862" spans="1:1" ht="14.5" x14ac:dyDescent="0.35">
      <c r="A862" s="353"/>
    </row>
    <row r="863" spans="1:1" ht="14.5" x14ac:dyDescent="0.35">
      <c r="A863" s="353"/>
    </row>
    <row r="864" spans="1:1" ht="14.5" x14ac:dyDescent="0.35">
      <c r="A864" s="353"/>
    </row>
    <row r="865" spans="1:1" ht="14.5" x14ac:dyDescent="0.35">
      <c r="A865" s="353"/>
    </row>
    <row r="866" spans="1:1" ht="14.5" x14ac:dyDescent="0.35">
      <c r="A866" s="353"/>
    </row>
    <row r="867" spans="1:1" ht="14.5" x14ac:dyDescent="0.35">
      <c r="A867" s="353"/>
    </row>
    <row r="868" spans="1:1" ht="14.5" x14ac:dyDescent="0.35">
      <c r="A868" s="353"/>
    </row>
    <row r="869" spans="1:1" ht="14.5" x14ac:dyDescent="0.35">
      <c r="A869" s="353"/>
    </row>
    <row r="870" spans="1:1" ht="14.5" x14ac:dyDescent="0.35">
      <c r="A870" s="353"/>
    </row>
    <row r="871" spans="1:1" ht="14.5" x14ac:dyDescent="0.35">
      <c r="A871" s="353"/>
    </row>
    <row r="872" spans="1:1" ht="14.5" x14ac:dyDescent="0.35">
      <c r="A872" s="353"/>
    </row>
    <row r="873" spans="1:1" ht="14.5" x14ac:dyDescent="0.35">
      <c r="A873" s="353"/>
    </row>
    <row r="874" spans="1:1" ht="14.5" x14ac:dyDescent="0.35">
      <c r="A874" s="353"/>
    </row>
    <row r="875" spans="1:1" ht="14.5" x14ac:dyDescent="0.35">
      <c r="A875" s="353"/>
    </row>
    <row r="876" spans="1:1" ht="14.5" x14ac:dyDescent="0.35">
      <c r="A876" s="353"/>
    </row>
    <row r="877" spans="1:1" ht="14.5" x14ac:dyDescent="0.35">
      <c r="A877" s="353"/>
    </row>
    <row r="878" spans="1:1" ht="14.5" x14ac:dyDescent="0.35">
      <c r="A878" s="353"/>
    </row>
    <row r="879" spans="1:1" ht="14.5" x14ac:dyDescent="0.35">
      <c r="A879" s="353"/>
    </row>
    <row r="880" spans="1:1" ht="14.5" x14ac:dyDescent="0.35">
      <c r="A880" s="353"/>
    </row>
    <row r="881" spans="1:1" ht="14.5" x14ac:dyDescent="0.35">
      <c r="A881" s="353"/>
    </row>
    <row r="882" spans="1:1" ht="14.5" x14ac:dyDescent="0.35">
      <c r="A882" s="353"/>
    </row>
    <row r="883" spans="1:1" ht="14.5" x14ac:dyDescent="0.35">
      <c r="A883" s="353"/>
    </row>
    <row r="884" spans="1:1" ht="14.5" x14ac:dyDescent="0.35">
      <c r="A884" s="353"/>
    </row>
    <row r="885" spans="1:1" ht="14.5" x14ac:dyDescent="0.35">
      <c r="A885" s="353"/>
    </row>
    <row r="886" spans="1:1" ht="14.5" x14ac:dyDescent="0.35">
      <c r="A886" s="353"/>
    </row>
    <row r="887" spans="1:1" ht="14.5" x14ac:dyDescent="0.35">
      <c r="A887" s="353"/>
    </row>
    <row r="888" spans="1:1" ht="14.5" x14ac:dyDescent="0.35">
      <c r="A888" s="353"/>
    </row>
    <row r="889" spans="1:1" ht="14.5" x14ac:dyDescent="0.35">
      <c r="A889" s="353"/>
    </row>
    <row r="890" spans="1:1" ht="14.5" x14ac:dyDescent="0.35">
      <c r="A890" s="353"/>
    </row>
    <row r="891" spans="1:1" ht="14.5" x14ac:dyDescent="0.35">
      <c r="A891" s="353"/>
    </row>
    <row r="892" spans="1:1" ht="14.5" x14ac:dyDescent="0.35">
      <c r="A892" s="353"/>
    </row>
    <row r="893" spans="1:1" ht="14.5" x14ac:dyDescent="0.35">
      <c r="A893" s="353"/>
    </row>
    <row r="894" spans="1:1" ht="14.5" x14ac:dyDescent="0.35">
      <c r="A894" s="353"/>
    </row>
    <row r="895" spans="1:1" ht="14.5" x14ac:dyDescent="0.35">
      <c r="A895" s="353"/>
    </row>
    <row r="896" spans="1:1" ht="14.5" x14ac:dyDescent="0.35">
      <c r="A896" s="353"/>
    </row>
    <row r="897" spans="1:1" ht="14.5" x14ac:dyDescent="0.35">
      <c r="A897" s="353"/>
    </row>
    <row r="898" spans="1:1" ht="14.5" x14ac:dyDescent="0.35">
      <c r="A898" s="353"/>
    </row>
    <row r="899" spans="1:1" ht="14.5" x14ac:dyDescent="0.35">
      <c r="A899" s="353"/>
    </row>
    <row r="900" spans="1:1" ht="14.5" x14ac:dyDescent="0.35">
      <c r="A900" s="353"/>
    </row>
    <row r="901" spans="1:1" ht="14.5" x14ac:dyDescent="0.35">
      <c r="A901" s="353"/>
    </row>
    <row r="902" spans="1:1" ht="14.5" x14ac:dyDescent="0.35">
      <c r="A902" s="353"/>
    </row>
    <row r="903" spans="1:1" ht="14.5" x14ac:dyDescent="0.35">
      <c r="A903" s="353"/>
    </row>
    <row r="904" spans="1:1" ht="14.5" x14ac:dyDescent="0.35">
      <c r="A904" s="353"/>
    </row>
    <row r="905" spans="1:1" ht="14.5" x14ac:dyDescent="0.35">
      <c r="A905" s="353"/>
    </row>
    <row r="906" spans="1:1" ht="14.5" x14ac:dyDescent="0.35">
      <c r="A906" s="353"/>
    </row>
    <row r="907" spans="1:1" ht="14.5" x14ac:dyDescent="0.35">
      <c r="A907" s="353"/>
    </row>
    <row r="908" spans="1:1" ht="14.5" x14ac:dyDescent="0.35">
      <c r="A908" s="353"/>
    </row>
    <row r="909" spans="1:1" ht="14.5" x14ac:dyDescent="0.35">
      <c r="A909" s="353"/>
    </row>
    <row r="910" spans="1:1" ht="14.5" x14ac:dyDescent="0.35">
      <c r="A910" s="353"/>
    </row>
    <row r="911" spans="1:1" ht="14.5" x14ac:dyDescent="0.35">
      <c r="A911" s="353"/>
    </row>
    <row r="912" spans="1:1" ht="14.5" x14ac:dyDescent="0.35">
      <c r="A912" s="353"/>
    </row>
    <row r="913" spans="1:1" ht="14.5" x14ac:dyDescent="0.35">
      <c r="A913" s="353"/>
    </row>
    <row r="914" spans="1:1" ht="14.5" x14ac:dyDescent="0.35">
      <c r="A914" s="353"/>
    </row>
    <row r="915" spans="1:1" ht="14.5" x14ac:dyDescent="0.35">
      <c r="A915" s="353"/>
    </row>
    <row r="916" spans="1:1" ht="14.5" x14ac:dyDescent="0.35">
      <c r="A916" s="353"/>
    </row>
    <row r="917" spans="1:1" ht="14.5" x14ac:dyDescent="0.35">
      <c r="A917" s="353"/>
    </row>
    <row r="918" spans="1:1" ht="14.5" x14ac:dyDescent="0.35">
      <c r="A918" s="353"/>
    </row>
    <row r="919" spans="1:1" ht="14.5" x14ac:dyDescent="0.35">
      <c r="A919" s="353"/>
    </row>
    <row r="920" spans="1:1" ht="14.5" x14ac:dyDescent="0.35">
      <c r="A920" s="353"/>
    </row>
    <row r="921" spans="1:1" ht="14.5" x14ac:dyDescent="0.35">
      <c r="A921" s="353"/>
    </row>
    <row r="922" spans="1:1" ht="14.5" x14ac:dyDescent="0.35">
      <c r="A922" s="353"/>
    </row>
    <row r="923" spans="1:1" ht="14.5" x14ac:dyDescent="0.35">
      <c r="A923" s="353"/>
    </row>
    <row r="924" spans="1:1" ht="14.5" x14ac:dyDescent="0.35">
      <c r="A924" s="353"/>
    </row>
    <row r="925" spans="1:1" ht="14.5" x14ac:dyDescent="0.35">
      <c r="A925" s="353"/>
    </row>
    <row r="926" spans="1:1" ht="14.5" x14ac:dyDescent="0.35">
      <c r="A926" s="353"/>
    </row>
    <row r="927" spans="1:1" ht="14.5" x14ac:dyDescent="0.35">
      <c r="A927" s="353"/>
    </row>
    <row r="928" spans="1:1" ht="14.5" x14ac:dyDescent="0.35">
      <c r="A928" s="353"/>
    </row>
    <row r="929" spans="1:1" ht="14.5" x14ac:dyDescent="0.35">
      <c r="A929" s="353"/>
    </row>
    <row r="930" spans="1:1" ht="14.5" x14ac:dyDescent="0.35">
      <c r="A930" s="353"/>
    </row>
    <row r="931" spans="1:1" ht="14.5" x14ac:dyDescent="0.35">
      <c r="A931" s="353"/>
    </row>
    <row r="932" spans="1:1" ht="14.5" x14ac:dyDescent="0.35">
      <c r="A932" s="353"/>
    </row>
    <row r="933" spans="1:1" ht="14.5" x14ac:dyDescent="0.35">
      <c r="A933" s="353"/>
    </row>
    <row r="934" spans="1:1" ht="14.5" x14ac:dyDescent="0.35">
      <c r="A934" s="353"/>
    </row>
    <row r="935" spans="1:1" ht="14.5" x14ac:dyDescent="0.35">
      <c r="A935" s="353"/>
    </row>
    <row r="936" spans="1:1" ht="14.5" x14ac:dyDescent="0.35">
      <c r="A936" s="353"/>
    </row>
    <row r="937" spans="1:1" ht="14.5" x14ac:dyDescent="0.35">
      <c r="A937" s="353"/>
    </row>
    <row r="938" spans="1:1" ht="14.5" x14ac:dyDescent="0.35">
      <c r="A938" s="353"/>
    </row>
    <row r="939" spans="1:1" ht="14.5" x14ac:dyDescent="0.35">
      <c r="A939" s="353"/>
    </row>
    <row r="940" spans="1:1" ht="14.5" x14ac:dyDescent="0.35">
      <c r="A940" s="353"/>
    </row>
    <row r="941" spans="1:1" ht="14.5" x14ac:dyDescent="0.35">
      <c r="A941" s="353"/>
    </row>
    <row r="942" spans="1:1" ht="14.5" x14ac:dyDescent="0.35">
      <c r="A942" s="353"/>
    </row>
    <row r="943" spans="1:1" ht="14.5" x14ac:dyDescent="0.35">
      <c r="A943" s="353"/>
    </row>
    <row r="944" spans="1:1" ht="14.5" x14ac:dyDescent="0.35">
      <c r="A944" s="353"/>
    </row>
    <row r="945" spans="1:1" ht="14.5" x14ac:dyDescent="0.35">
      <c r="A945" s="353"/>
    </row>
    <row r="946" spans="1:1" ht="14.5" x14ac:dyDescent="0.35">
      <c r="A946" s="353"/>
    </row>
    <row r="947" spans="1:1" ht="14.5" x14ac:dyDescent="0.35">
      <c r="A947" s="353"/>
    </row>
    <row r="948" spans="1:1" ht="14.5" x14ac:dyDescent="0.35">
      <c r="A948" s="353"/>
    </row>
    <row r="949" spans="1:1" ht="14.5" x14ac:dyDescent="0.35">
      <c r="A949" s="353"/>
    </row>
    <row r="950" spans="1:1" ht="14.5" x14ac:dyDescent="0.35">
      <c r="A950" s="353"/>
    </row>
    <row r="951" spans="1:1" ht="14.5" x14ac:dyDescent="0.35">
      <c r="A951" s="353"/>
    </row>
    <row r="952" spans="1:1" ht="14.5" x14ac:dyDescent="0.35">
      <c r="A952" s="353"/>
    </row>
    <row r="953" spans="1:1" ht="14.5" x14ac:dyDescent="0.35">
      <c r="A953" s="353"/>
    </row>
    <row r="954" spans="1:1" ht="14.5" x14ac:dyDescent="0.35">
      <c r="A954" s="353"/>
    </row>
    <row r="955" spans="1:1" ht="14.5" x14ac:dyDescent="0.35">
      <c r="A955" s="353"/>
    </row>
    <row r="956" spans="1:1" ht="14.5" x14ac:dyDescent="0.35">
      <c r="A956" s="353"/>
    </row>
    <row r="957" spans="1:1" ht="14.5" x14ac:dyDescent="0.35">
      <c r="A957" s="353"/>
    </row>
    <row r="958" spans="1:1" ht="14.5" x14ac:dyDescent="0.35">
      <c r="A958" s="353"/>
    </row>
    <row r="959" spans="1:1" ht="14.5" x14ac:dyDescent="0.35">
      <c r="A959" s="353"/>
    </row>
    <row r="960" spans="1:1" ht="14.5" x14ac:dyDescent="0.35">
      <c r="A960" s="353"/>
    </row>
    <row r="961" spans="1:1" ht="14.5" x14ac:dyDescent="0.35">
      <c r="A961" s="353"/>
    </row>
    <row r="962" spans="1:1" ht="14.5" x14ac:dyDescent="0.35">
      <c r="A962" s="353"/>
    </row>
    <row r="963" spans="1:1" ht="14.5" x14ac:dyDescent="0.35">
      <c r="A963" s="353"/>
    </row>
    <row r="964" spans="1:1" ht="14.5" x14ac:dyDescent="0.35">
      <c r="A964" s="353"/>
    </row>
    <row r="965" spans="1:1" ht="14.5" x14ac:dyDescent="0.35">
      <c r="A965" s="353"/>
    </row>
    <row r="966" spans="1:1" ht="14.5" x14ac:dyDescent="0.35">
      <c r="A966" s="353"/>
    </row>
    <row r="967" spans="1:1" ht="14.5" x14ac:dyDescent="0.35">
      <c r="A967" s="353"/>
    </row>
    <row r="968" spans="1:1" ht="14.5" x14ac:dyDescent="0.35">
      <c r="A968" s="353"/>
    </row>
    <row r="969" spans="1:1" ht="14.5" x14ac:dyDescent="0.35">
      <c r="A969" s="353"/>
    </row>
    <row r="970" spans="1:1" ht="14.5" x14ac:dyDescent="0.35">
      <c r="A970" s="353"/>
    </row>
    <row r="971" spans="1:1" ht="14.5" x14ac:dyDescent="0.35">
      <c r="A971" s="353"/>
    </row>
    <row r="972" spans="1:1" ht="14.5" x14ac:dyDescent="0.35">
      <c r="A972" s="353"/>
    </row>
    <row r="973" spans="1:1" ht="14.5" x14ac:dyDescent="0.35">
      <c r="A973" s="353"/>
    </row>
    <row r="974" spans="1:1" ht="14.5" x14ac:dyDescent="0.35">
      <c r="A974" s="353"/>
    </row>
    <row r="975" spans="1:1" ht="14.5" x14ac:dyDescent="0.35">
      <c r="A975" s="353"/>
    </row>
    <row r="976" spans="1:1" ht="14.5" x14ac:dyDescent="0.35">
      <c r="A976" s="353"/>
    </row>
    <row r="977" spans="1:1" ht="14.5" x14ac:dyDescent="0.35">
      <c r="A977" s="353"/>
    </row>
    <row r="978" spans="1:1" ht="14.5" x14ac:dyDescent="0.35">
      <c r="A978" s="353"/>
    </row>
    <row r="979" spans="1:1" ht="14.5" x14ac:dyDescent="0.35">
      <c r="A979" s="353"/>
    </row>
    <row r="980" spans="1:1" ht="14.5" x14ac:dyDescent="0.35">
      <c r="A980" s="353"/>
    </row>
    <row r="981" spans="1:1" ht="14.5" x14ac:dyDescent="0.35">
      <c r="A981" s="353"/>
    </row>
    <row r="982" spans="1:1" ht="14.5" x14ac:dyDescent="0.35">
      <c r="A982" s="353"/>
    </row>
    <row r="983" spans="1:1" ht="14.5" x14ac:dyDescent="0.35">
      <c r="A983" s="353"/>
    </row>
    <row r="984" spans="1:1" ht="14.5" x14ac:dyDescent="0.35">
      <c r="A984" s="353"/>
    </row>
    <row r="985" spans="1:1" ht="14.5" x14ac:dyDescent="0.35">
      <c r="A985" s="353"/>
    </row>
    <row r="986" spans="1:1" ht="14.5" x14ac:dyDescent="0.35">
      <c r="A986" s="353"/>
    </row>
    <row r="987" spans="1:1" ht="14.5" x14ac:dyDescent="0.35">
      <c r="A987" s="353"/>
    </row>
    <row r="988" spans="1:1" ht="14.5" x14ac:dyDescent="0.35">
      <c r="A988" s="353"/>
    </row>
    <row r="989" spans="1:1" ht="14.5" x14ac:dyDescent="0.35">
      <c r="A989" s="353"/>
    </row>
    <row r="990" spans="1:1" ht="14.5" x14ac:dyDescent="0.35">
      <c r="A990" s="353"/>
    </row>
    <row r="991" spans="1:1" ht="14.5" x14ac:dyDescent="0.35">
      <c r="A991" s="353"/>
    </row>
    <row r="992" spans="1:1" ht="14.5" x14ac:dyDescent="0.35">
      <c r="A992" s="353"/>
    </row>
    <row r="993" spans="1:1" ht="14.5" x14ac:dyDescent="0.35">
      <c r="A993" s="353"/>
    </row>
    <row r="994" spans="1:1" ht="14.5" x14ac:dyDescent="0.35">
      <c r="A994" s="353"/>
    </row>
    <row r="995" spans="1:1" ht="14.5" x14ac:dyDescent="0.35">
      <c r="A995" s="353"/>
    </row>
    <row r="996" spans="1:1" ht="14.5" x14ac:dyDescent="0.35">
      <c r="A996" s="353"/>
    </row>
    <row r="997" spans="1:1" ht="14.5" x14ac:dyDescent="0.35">
      <c r="A997" s="353"/>
    </row>
    <row r="998" spans="1:1" ht="14.5" x14ac:dyDescent="0.35">
      <c r="A998" s="353"/>
    </row>
    <row r="999" spans="1:1" ht="14.5" x14ac:dyDescent="0.35">
      <c r="A999" s="353"/>
    </row>
    <row r="1000" spans="1:1" ht="14.5" x14ac:dyDescent="0.35">
      <c r="A1000" s="353"/>
    </row>
    <row r="1001" spans="1:1" ht="14.5" x14ac:dyDescent="0.35">
      <c r="A1001" s="353"/>
    </row>
  </sheetData>
  <mergeCells count="2">
    <mergeCell ref="A1:E2"/>
    <mergeCell ref="A5:B5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Z1003"/>
  <sheetViews>
    <sheetView workbookViewId="0">
      <pane ySplit="3" topLeftCell="A33" activePane="bottomLeft" state="frozen"/>
      <selection pane="bottomLeft" activeCell="B35" sqref="B35:F35"/>
    </sheetView>
  </sheetViews>
  <sheetFormatPr defaultColWidth="14.453125" defaultRowHeight="15" customHeight="1" x14ac:dyDescent="0.35"/>
  <cols>
    <col min="1" max="1" width="9.453125" customWidth="1"/>
    <col min="2" max="2" width="15.1796875" customWidth="1"/>
    <col min="3" max="3" width="16.7265625" customWidth="1"/>
    <col min="4" max="4" width="8.26953125" customWidth="1"/>
    <col min="5" max="5" width="12.1796875" customWidth="1"/>
    <col min="6" max="6" width="11" customWidth="1"/>
    <col min="7" max="20" width="9.1796875" customWidth="1"/>
    <col min="21" max="21" width="4.453125" customWidth="1"/>
    <col min="22" max="22" width="6" customWidth="1"/>
    <col min="23" max="23" width="7" customWidth="1"/>
    <col min="24" max="24" width="11.81640625" customWidth="1"/>
    <col min="25" max="26" width="9.1796875" customWidth="1"/>
  </cols>
  <sheetData>
    <row r="1" spans="2:26" ht="14.5" x14ac:dyDescent="0.35"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04"/>
      <c r="V1" s="204"/>
      <c r="W1" s="204"/>
      <c r="X1" s="204"/>
      <c r="Y1" s="204"/>
      <c r="Z1" s="204"/>
    </row>
    <row r="2" spans="2:26" ht="36" x14ac:dyDescent="0.8">
      <c r="B2" s="1030" t="s">
        <v>132</v>
      </c>
      <c r="C2" s="1031"/>
      <c r="D2" s="1031"/>
      <c r="E2" s="3"/>
      <c r="F2" s="4"/>
      <c r="G2" s="205" t="s">
        <v>27</v>
      </c>
      <c r="H2" s="6" t="s">
        <v>2</v>
      </c>
      <c r="I2" s="7" t="s">
        <v>3</v>
      </c>
      <c r="J2" s="8" t="s">
        <v>4</v>
      </c>
      <c r="K2" s="9" t="s">
        <v>5</v>
      </c>
      <c r="L2" s="10" t="s">
        <v>6</v>
      </c>
      <c r="M2" s="11" t="s">
        <v>7</v>
      </c>
      <c r="N2" s="12" t="s">
        <v>8</v>
      </c>
      <c r="O2" s="13" t="s">
        <v>9</v>
      </c>
      <c r="P2" s="14" t="s">
        <v>10</v>
      </c>
      <c r="Q2" s="15" t="s">
        <v>11</v>
      </c>
      <c r="R2" s="16" t="s">
        <v>12</v>
      </c>
      <c r="S2" s="17" t="s">
        <v>13</v>
      </c>
      <c r="T2" s="18" t="s">
        <v>14</v>
      </c>
      <c r="U2" s="206"/>
      <c r="V2" s="206"/>
      <c r="W2" s="206"/>
      <c r="X2" s="206"/>
      <c r="Y2" s="204"/>
      <c r="Z2" s="204"/>
    </row>
    <row r="3" spans="2:26" ht="14.5" x14ac:dyDescent="0.35">
      <c r="B3" s="19" t="s">
        <v>15</v>
      </c>
      <c r="C3" s="19" t="s">
        <v>16</v>
      </c>
      <c r="D3" s="19" t="s">
        <v>17</v>
      </c>
      <c r="E3" s="19" t="s">
        <v>18</v>
      </c>
      <c r="F3" s="20" t="s">
        <v>19</v>
      </c>
      <c r="G3" s="207">
        <v>2</v>
      </c>
      <c r="H3" s="22">
        <v>5</v>
      </c>
      <c r="I3" s="23">
        <v>7</v>
      </c>
      <c r="J3" s="24">
        <v>10</v>
      </c>
      <c r="K3" s="25">
        <v>11</v>
      </c>
      <c r="L3" s="26">
        <v>12</v>
      </c>
      <c r="M3" s="27">
        <v>13</v>
      </c>
      <c r="N3" s="28">
        <v>16</v>
      </c>
      <c r="O3" s="29">
        <v>27</v>
      </c>
      <c r="P3" s="30">
        <v>69</v>
      </c>
      <c r="Q3" s="31">
        <v>76</v>
      </c>
      <c r="R3" s="32">
        <v>77</v>
      </c>
      <c r="S3" s="33">
        <v>79</v>
      </c>
      <c r="T3" s="34">
        <v>81</v>
      </c>
      <c r="U3" s="208" t="s">
        <v>20</v>
      </c>
      <c r="V3" s="208" t="s">
        <v>21</v>
      </c>
      <c r="W3" s="209" t="s">
        <v>22</v>
      </c>
      <c r="X3" s="210" t="s">
        <v>23</v>
      </c>
      <c r="Y3" s="204"/>
      <c r="Z3" s="204"/>
    </row>
    <row r="4" spans="2:26" ht="21" customHeight="1" x14ac:dyDescent="0.35"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04"/>
      <c r="V4" s="204"/>
      <c r="W4" s="204"/>
      <c r="X4" s="204"/>
      <c r="Y4" s="204"/>
      <c r="Z4" s="211"/>
    </row>
    <row r="5" spans="2:26" ht="21" customHeight="1" x14ac:dyDescent="0.6">
      <c r="B5" s="1047" t="s">
        <v>133</v>
      </c>
      <c r="C5" s="1048"/>
      <c r="D5" s="1048"/>
      <c r="E5" s="1048"/>
      <c r="F5" s="104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04"/>
      <c r="V5" s="204"/>
      <c r="W5" s="204"/>
      <c r="X5" s="204"/>
      <c r="Y5" s="204"/>
      <c r="Z5" s="211"/>
    </row>
    <row r="6" spans="2:26" ht="35.25" customHeight="1" x14ac:dyDescent="0.35">
      <c r="B6" s="1046" t="s">
        <v>990</v>
      </c>
      <c r="C6" s="1046"/>
      <c r="D6" s="921">
        <f>SUM(D7:D13)</f>
        <v>39</v>
      </c>
      <c r="E6" s="922" t="s">
        <v>991</v>
      </c>
      <c r="F6" s="923">
        <f>SUM(F7:F13)*0.95</f>
        <v>1215.297</v>
      </c>
      <c r="G6" s="918"/>
      <c r="H6" s="214"/>
      <c r="I6" s="215"/>
      <c r="J6" s="216"/>
      <c r="K6" s="217"/>
      <c r="L6" s="218"/>
      <c r="M6" s="219"/>
      <c r="N6" s="220"/>
      <c r="O6" s="221"/>
      <c r="P6" s="222"/>
      <c r="Q6" s="223"/>
      <c r="R6" s="224"/>
      <c r="S6" s="225"/>
      <c r="T6" s="226"/>
      <c r="U6" s="227">
        <f t="shared" ref="U6" si="0">SUM(G6:T6)</f>
        <v>0</v>
      </c>
      <c r="V6" s="227">
        <f t="shared" ref="V6:V13" si="1">D6*U6</f>
        <v>0</v>
      </c>
      <c r="W6" s="227">
        <f>U6*0.97</f>
        <v>0</v>
      </c>
      <c r="X6" s="228">
        <f t="shared" ref="X6" si="2">U6*F6</f>
        <v>0</v>
      </c>
      <c r="Y6" s="916"/>
      <c r="Z6" s="917"/>
    </row>
    <row r="7" spans="2:26" ht="99.75" customHeight="1" x14ac:dyDescent="0.35">
      <c r="B7" s="919" t="s">
        <v>134</v>
      </c>
      <c r="C7" s="920"/>
      <c r="D7" s="557">
        <v>6</v>
      </c>
      <c r="E7" s="586" t="s">
        <v>135</v>
      </c>
      <c r="F7" s="875">
        <v>72.100000000000009</v>
      </c>
      <c r="G7" s="213"/>
      <c r="H7" s="214"/>
      <c r="I7" s="215"/>
      <c r="J7" s="216"/>
      <c r="K7" s="217"/>
      <c r="L7" s="218"/>
      <c r="M7" s="219"/>
      <c r="N7" s="220"/>
      <c r="O7" s="221"/>
      <c r="P7" s="222"/>
      <c r="Q7" s="223"/>
      <c r="R7" s="224"/>
      <c r="S7" s="225"/>
      <c r="T7" s="226"/>
      <c r="U7" s="227">
        <f t="shared" ref="U7:U13" si="3">SUM(G7:T7)</f>
        <v>0</v>
      </c>
      <c r="V7" s="227">
        <f t="shared" si="1"/>
        <v>0</v>
      </c>
      <c r="W7" s="227">
        <f>U7*0.97</f>
        <v>0</v>
      </c>
      <c r="X7" s="228">
        <f t="shared" ref="X7:X13" si="4">U7*F7</f>
        <v>0</v>
      </c>
      <c r="Y7" s="204"/>
      <c r="Z7" s="211"/>
    </row>
    <row r="8" spans="2:26" ht="99.75" customHeight="1" x14ac:dyDescent="0.35">
      <c r="B8" s="39" t="s">
        <v>136</v>
      </c>
      <c r="C8" s="19"/>
      <c r="D8" s="40">
        <v>6</v>
      </c>
      <c r="E8" s="40" t="s">
        <v>137</v>
      </c>
      <c r="F8" s="41">
        <v>92.7</v>
      </c>
      <c r="G8" s="213"/>
      <c r="H8" s="214"/>
      <c r="I8" s="215"/>
      <c r="J8" s="229"/>
      <c r="K8" s="217"/>
      <c r="L8" s="218"/>
      <c r="M8" s="219"/>
      <c r="N8" s="220"/>
      <c r="O8" s="221"/>
      <c r="P8" s="222"/>
      <c r="Q8" s="223"/>
      <c r="R8" s="224"/>
      <c r="S8" s="225"/>
      <c r="T8" s="226"/>
      <c r="U8" s="227">
        <f t="shared" si="3"/>
        <v>0</v>
      </c>
      <c r="V8" s="227">
        <f t="shared" si="1"/>
        <v>0</v>
      </c>
      <c r="W8" s="227"/>
      <c r="X8" s="228">
        <f t="shared" si="4"/>
        <v>0</v>
      </c>
      <c r="Y8" s="204"/>
      <c r="Z8" s="211"/>
    </row>
    <row r="9" spans="2:26" ht="99.75" customHeight="1" x14ac:dyDescent="0.35">
      <c r="B9" s="230" t="s">
        <v>138</v>
      </c>
      <c r="C9" s="19"/>
      <c r="D9" s="40">
        <v>6</v>
      </c>
      <c r="E9" s="40" t="s">
        <v>139</v>
      </c>
      <c r="F9" s="41">
        <v>107.12</v>
      </c>
      <c r="G9" s="213"/>
      <c r="H9" s="214"/>
      <c r="I9" s="215"/>
      <c r="J9" s="216"/>
      <c r="K9" s="217"/>
      <c r="L9" s="218"/>
      <c r="M9" s="219"/>
      <c r="N9" s="220"/>
      <c r="O9" s="221"/>
      <c r="P9" s="222"/>
      <c r="Q9" s="223"/>
      <c r="R9" s="224"/>
      <c r="S9" s="225"/>
      <c r="T9" s="226"/>
      <c r="U9" s="227">
        <f t="shared" si="3"/>
        <v>0</v>
      </c>
      <c r="V9" s="227">
        <f t="shared" si="1"/>
        <v>0</v>
      </c>
      <c r="W9" s="227"/>
      <c r="X9" s="228">
        <f t="shared" si="4"/>
        <v>0</v>
      </c>
      <c r="Y9" s="204"/>
      <c r="Z9" s="211"/>
    </row>
    <row r="10" spans="2:26" ht="99.75" customHeight="1" x14ac:dyDescent="0.35">
      <c r="B10" s="230" t="s">
        <v>140</v>
      </c>
      <c r="C10" s="19"/>
      <c r="D10" s="40">
        <v>6</v>
      </c>
      <c r="E10" s="40" t="s">
        <v>141</v>
      </c>
      <c r="F10" s="41">
        <v>139.05000000000001</v>
      </c>
      <c r="G10" s="213"/>
      <c r="H10" s="214"/>
      <c r="I10" s="215"/>
      <c r="J10" s="216"/>
      <c r="K10" s="217"/>
      <c r="L10" s="218"/>
      <c r="M10" s="219"/>
      <c r="N10" s="220"/>
      <c r="O10" s="221"/>
      <c r="P10" s="222"/>
      <c r="Q10" s="223"/>
      <c r="R10" s="224"/>
      <c r="S10" s="225"/>
      <c r="T10" s="226"/>
      <c r="U10" s="227">
        <f t="shared" si="3"/>
        <v>0</v>
      </c>
      <c r="V10" s="227">
        <f t="shared" si="1"/>
        <v>0</v>
      </c>
      <c r="W10" s="227">
        <f>U10*2.34</f>
        <v>0</v>
      </c>
      <c r="X10" s="228">
        <f t="shared" si="4"/>
        <v>0</v>
      </c>
      <c r="Y10" s="204"/>
      <c r="Z10" s="211"/>
    </row>
    <row r="11" spans="2:26" ht="99.75" customHeight="1" x14ac:dyDescent="0.35">
      <c r="B11" s="230" t="s">
        <v>142</v>
      </c>
      <c r="C11" s="19"/>
      <c r="D11" s="40">
        <v>6</v>
      </c>
      <c r="E11" s="40" t="s">
        <v>143</v>
      </c>
      <c r="F11" s="41">
        <v>242.05</v>
      </c>
      <c r="G11" s="213"/>
      <c r="H11" s="214"/>
      <c r="I11" s="215"/>
      <c r="J11" s="216"/>
      <c r="K11" s="217"/>
      <c r="L11" s="218"/>
      <c r="M11" s="219"/>
      <c r="N11" s="220"/>
      <c r="O11" s="221"/>
      <c r="P11" s="222"/>
      <c r="Q11" s="223"/>
      <c r="R11" s="224"/>
      <c r="S11" s="225"/>
      <c r="T11" s="226"/>
      <c r="U11" s="227">
        <f t="shared" si="3"/>
        <v>0</v>
      </c>
      <c r="V11" s="227">
        <f t="shared" si="1"/>
        <v>0</v>
      </c>
      <c r="W11" s="227">
        <f>U11*2.82</f>
        <v>0</v>
      </c>
      <c r="X11" s="228">
        <f t="shared" si="4"/>
        <v>0</v>
      </c>
      <c r="Y11" s="204"/>
      <c r="Z11" s="211"/>
    </row>
    <row r="12" spans="2:26" ht="99.75" customHeight="1" x14ac:dyDescent="0.35">
      <c r="B12" s="230" t="s">
        <v>144</v>
      </c>
      <c r="C12" s="19"/>
      <c r="D12" s="40">
        <v>6</v>
      </c>
      <c r="E12" s="40" t="s">
        <v>145</v>
      </c>
      <c r="F12" s="41">
        <v>358.44</v>
      </c>
      <c r="G12" s="213"/>
      <c r="H12" s="214"/>
      <c r="I12" s="215"/>
      <c r="J12" s="216"/>
      <c r="K12" s="217"/>
      <c r="L12" s="218"/>
      <c r="M12" s="219"/>
      <c r="N12" s="220"/>
      <c r="O12" s="221"/>
      <c r="P12" s="222"/>
      <c r="Q12" s="223"/>
      <c r="R12" s="224"/>
      <c r="S12" s="225"/>
      <c r="T12" s="226"/>
      <c r="U12" s="227">
        <f t="shared" si="3"/>
        <v>0</v>
      </c>
      <c r="V12" s="227">
        <f t="shared" si="1"/>
        <v>0</v>
      </c>
      <c r="W12" s="227">
        <f>U12*4.85</f>
        <v>0</v>
      </c>
      <c r="X12" s="228">
        <f t="shared" si="4"/>
        <v>0</v>
      </c>
      <c r="Y12" s="204"/>
      <c r="Z12" s="211"/>
    </row>
    <row r="13" spans="2:26" ht="99.75" customHeight="1" x14ac:dyDescent="0.35">
      <c r="B13" s="230" t="s">
        <v>146</v>
      </c>
      <c r="C13" s="19"/>
      <c r="D13" s="40">
        <v>3</v>
      </c>
      <c r="E13" s="40" t="s">
        <v>147</v>
      </c>
      <c r="F13" s="41">
        <v>267.8</v>
      </c>
      <c r="G13" s="213"/>
      <c r="H13" s="214"/>
      <c r="I13" s="215"/>
      <c r="J13" s="216"/>
      <c r="K13" s="217"/>
      <c r="L13" s="218"/>
      <c r="M13" s="219"/>
      <c r="N13" s="220"/>
      <c r="O13" s="221"/>
      <c r="P13" s="222"/>
      <c r="Q13" s="223"/>
      <c r="R13" s="224"/>
      <c r="S13" s="225"/>
      <c r="T13" s="226"/>
      <c r="U13" s="227">
        <f t="shared" si="3"/>
        <v>0</v>
      </c>
      <c r="V13" s="227">
        <f t="shared" si="1"/>
        <v>0</v>
      </c>
      <c r="W13" s="227">
        <f>U13*3.95</f>
        <v>0</v>
      </c>
      <c r="X13" s="228">
        <f t="shared" si="4"/>
        <v>0</v>
      </c>
      <c r="Y13" s="204"/>
      <c r="Z13" s="211"/>
    </row>
    <row r="14" spans="2:26" ht="15.75" customHeight="1" x14ac:dyDescent="0.35">
      <c r="B14" s="3"/>
      <c r="C14" s="3"/>
      <c r="D14" s="3"/>
      <c r="E14" s="3"/>
      <c r="F14" s="4" t="s">
        <v>20</v>
      </c>
      <c r="G14" s="231">
        <f>SUM(G6:G13)</f>
        <v>0</v>
      </c>
      <c r="H14" s="231">
        <f t="shared" ref="H14:T14" si="5">SUM(H6:H13)</f>
        <v>0</v>
      </c>
      <c r="I14" s="231">
        <f t="shared" si="5"/>
        <v>0</v>
      </c>
      <c r="J14" s="231">
        <f t="shared" si="5"/>
        <v>0</v>
      </c>
      <c r="K14" s="231">
        <f t="shared" si="5"/>
        <v>0</v>
      </c>
      <c r="L14" s="231">
        <f t="shared" si="5"/>
        <v>0</v>
      </c>
      <c r="M14" s="231">
        <f t="shared" si="5"/>
        <v>0</v>
      </c>
      <c r="N14" s="231">
        <f t="shared" si="5"/>
        <v>0</v>
      </c>
      <c r="O14" s="231">
        <f t="shared" si="5"/>
        <v>0</v>
      </c>
      <c r="P14" s="231">
        <f t="shared" si="5"/>
        <v>0</v>
      </c>
      <c r="Q14" s="231">
        <f t="shared" si="5"/>
        <v>0</v>
      </c>
      <c r="R14" s="231">
        <f t="shared" si="5"/>
        <v>0</v>
      </c>
      <c r="S14" s="231">
        <f t="shared" si="5"/>
        <v>0</v>
      </c>
      <c r="T14" s="231">
        <f t="shared" si="5"/>
        <v>0</v>
      </c>
      <c r="U14" s="232">
        <f>SUM(U6:U13)</f>
        <v>0</v>
      </c>
      <c r="V14" s="232">
        <f t="shared" ref="V14:W14" si="6">SUM(V6:V13)</f>
        <v>0</v>
      </c>
      <c r="W14" s="232">
        <f t="shared" si="6"/>
        <v>0</v>
      </c>
      <c r="X14" s="233">
        <f>SUM(X6:X13)</f>
        <v>0</v>
      </c>
      <c r="Y14" s="204"/>
      <c r="Z14" s="211"/>
    </row>
    <row r="15" spans="2:26" ht="26" x14ac:dyDescent="0.6">
      <c r="B15" s="234"/>
      <c r="C15" s="234"/>
      <c r="D15" s="234"/>
      <c r="E15" s="234"/>
      <c r="F15" s="4"/>
      <c r="G15" s="234"/>
      <c r="H15" s="235"/>
      <c r="I15" s="235"/>
      <c r="J15" s="236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7"/>
      <c r="V15" s="237"/>
      <c r="W15" s="237"/>
      <c r="X15" s="237"/>
      <c r="Y15" s="204"/>
      <c r="Z15" s="204"/>
    </row>
    <row r="16" spans="2:26" ht="26" x14ac:dyDescent="0.6">
      <c r="B16" s="1047" t="s">
        <v>148</v>
      </c>
      <c r="C16" s="1048"/>
      <c r="D16" s="1048"/>
      <c r="E16" s="1048"/>
      <c r="F16" s="1048"/>
      <c r="G16" s="1034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04"/>
      <c r="V16" s="204"/>
      <c r="W16" s="204"/>
      <c r="X16" s="204"/>
      <c r="Y16" s="204"/>
      <c r="Z16" s="204"/>
    </row>
    <row r="17" spans="1:26" ht="29" x14ac:dyDescent="0.35">
      <c r="B17" s="1046" t="s">
        <v>992</v>
      </c>
      <c r="C17" s="1046"/>
      <c r="D17" s="921">
        <f>SUM(D18:D30)</f>
        <v>78</v>
      </c>
      <c r="E17" s="922" t="s">
        <v>991</v>
      </c>
      <c r="F17" s="923">
        <f>SUM(F18:F30)*0.95</f>
        <v>2010.8174999999999</v>
      </c>
      <c r="G17" s="918"/>
      <c r="H17" s="214"/>
      <c r="I17" s="215"/>
      <c r="J17" s="216"/>
      <c r="K17" s="217"/>
      <c r="L17" s="218"/>
      <c r="M17" s="219"/>
      <c r="N17" s="220"/>
      <c r="O17" s="221"/>
      <c r="P17" s="222"/>
      <c r="Q17" s="223"/>
      <c r="R17" s="224"/>
      <c r="S17" s="225"/>
      <c r="T17" s="226"/>
      <c r="U17" s="227">
        <f t="shared" ref="U17" si="7">SUM(G17:T17)</f>
        <v>0</v>
      </c>
      <c r="V17" s="227">
        <f t="shared" ref="V17:V30" si="8">D17*U17</f>
        <v>0</v>
      </c>
      <c r="W17" s="227"/>
      <c r="X17" s="238">
        <f t="shared" ref="X17" si="9">U17*F17</f>
        <v>0</v>
      </c>
      <c r="Y17" s="916"/>
      <c r="Z17" s="916"/>
    </row>
    <row r="18" spans="1:26" ht="99.75" customHeight="1" x14ac:dyDescent="0.35">
      <c r="B18" s="557" t="s">
        <v>149</v>
      </c>
      <c r="C18" s="920"/>
      <c r="D18" s="557">
        <v>6</v>
      </c>
      <c r="E18" s="557" t="s">
        <v>150</v>
      </c>
      <c r="F18" s="875">
        <v>28.84</v>
      </c>
      <c r="G18" s="213"/>
      <c r="H18" s="214"/>
      <c r="I18" s="215"/>
      <c r="J18" s="216"/>
      <c r="K18" s="217"/>
      <c r="L18" s="218"/>
      <c r="M18" s="219"/>
      <c r="N18" s="220"/>
      <c r="O18" s="221"/>
      <c r="P18" s="222"/>
      <c r="Q18" s="223"/>
      <c r="R18" s="224"/>
      <c r="S18" s="225"/>
      <c r="T18" s="226"/>
      <c r="U18" s="227">
        <f t="shared" ref="U18:U30" si="10">SUM(G18:T18)</f>
        <v>0</v>
      </c>
      <c r="V18" s="227">
        <f t="shared" si="8"/>
        <v>0</v>
      </c>
      <c r="W18" s="227"/>
      <c r="X18" s="238">
        <f t="shared" ref="X18:X19" si="11">U18*F18</f>
        <v>0</v>
      </c>
      <c r="Y18" s="204"/>
      <c r="Z18" s="211"/>
    </row>
    <row r="19" spans="1:26" ht="99.75" customHeight="1" x14ac:dyDescent="0.35">
      <c r="B19" s="40" t="s">
        <v>151</v>
      </c>
      <c r="C19" s="19"/>
      <c r="D19" s="40">
        <v>6</v>
      </c>
      <c r="E19" s="40" t="s">
        <v>152</v>
      </c>
      <c r="F19" s="41">
        <v>28.84</v>
      </c>
      <c r="G19" s="213"/>
      <c r="H19" s="214"/>
      <c r="I19" s="215"/>
      <c r="J19" s="216"/>
      <c r="K19" s="217"/>
      <c r="L19" s="218"/>
      <c r="M19" s="219"/>
      <c r="N19" s="220"/>
      <c r="O19" s="221"/>
      <c r="P19" s="222"/>
      <c r="Q19" s="223"/>
      <c r="R19" s="224"/>
      <c r="S19" s="225"/>
      <c r="T19" s="226"/>
      <c r="U19" s="227">
        <f t="shared" si="10"/>
        <v>0</v>
      </c>
      <c r="V19" s="227">
        <f t="shared" si="8"/>
        <v>0</v>
      </c>
      <c r="W19" s="227"/>
      <c r="X19" s="238">
        <f t="shared" si="11"/>
        <v>0</v>
      </c>
      <c r="Y19" s="204"/>
      <c r="Z19" s="211"/>
    </row>
    <row r="20" spans="1:26" ht="99.75" customHeight="1" x14ac:dyDescent="0.35">
      <c r="B20" s="113" t="s">
        <v>153</v>
      </c>
      <c r="C20" s="114"/>
      <c r="D20" s="113">
        <v>6</v>
      </c>
      <c r="E20" s="113" t="s">
        <v>154</v>
      </c>
      <c r="F20" s="41">
        <v>33.99</v>
      </c>
      <c r="G20" s="213"/>
      <c r="H20" s="214"/>
      <c r="I20" s="215"/>
      <c r="J20" s="216"/>
      <c r="K20" s="217"/>
      <c r="L20" s="218"/>
      <c r="M20" s="219"/>
      <c r="N20" s="220"/>
      <c r="O20" s="221"/>
      <c r="P20" s="222"/>
      <c r="Q20" s="223"/>
      <c r="R20" s="224"/>
      <c r="S20" s="225"/>
      <c r="T20" s="226"/>
      <c r="U20" s="227">
        <f t="shared" si="10"/>
        <v>0</v>
      </c>
      <c r="V20" s="227">
        <f t="shared" si="8"/>
        <v>0</v>
      </c>
      <c r="W20" s="227">
        <f>U20*0.3</f>
        <v>0</v>
      </c>
      <c r="X20" s="238">
        <f t="shared" ref="X20:X21" si="12">F20*U20</f>
        <v>0</v>
      </c>
      <c r="Y20" s="204"/>
      <c r="Z20" s="211"/>
    </row>
    <row r="21" spans="1:26" ht="99.75" customHeight="1" x14ac:dyDescent="0.35">
      <c r="B21" s="113" t="s">
        <v>151</v>
      </c>
      <c r="C21" s="114"/>
      <c r="D21" s="113">
        <v>6</v>
      </c>
      <c r="E21" s="113" t="s">
        <v>155</v>
      </c>
      <c r="F21" s="41">
        <v>29.87</v>
      </c>
      <c r="G21" s="213"/>
      <c r="H21" s="214"/>
      <c r="I21" s="215"/>
      <c r="J21" s="216"/>
      <c r="K21" s="217"/>
      <c r="L21" s="218"/>
      <c r="M21" s="219"/>
      <c r="N21" s="220"/>
      <c r="O21" s="221"/>
      <c r="P21" s="222"/>
      <c r="Q21" s="223"/>
      <c r="R21" s="224"/>
      <c r="S21" s="225"/>
      <c r="T21" s="226"/>
      <c r="U21" s="227">
        <f t="shared" si="10"/>
        <v>0</v>
      </c>
      <c r="V21" s="227">
        <f t="shared" si="8"/>
        <v>0</v>
      </c>
      <c r="W21" s="227">
        <f>U21*0.2</f>
        <v>0</v>
      </c>
      <c r="X21" s="238">
        <f t="shared" si="12"/>
        <v>0</v>
      </c>
      <c r="Y21" s="204"/>
      <c r="Z21" s="211"/>
    </row>
    <row r="22" spans="1:26" ht="99.75" customHeight="1" x14ac:dyDescent="0.35">
      <c r="B22" s="212" t="s">
        <v>156</v>
      </c>
      <c r="C22" s="19"/>
      <c r="D22" s="40">
        <v>6</v>
      </c>
      <c r="E22" s="40" t="s">
        <v>157</v>
      </c>
      <c r="F22" s="41">
        <v>67.98</v>
      </c>
      <c r="G22" s="213"/>
      <c r="H22" s="214"/>
      <c r="I22" s="215"/>
      <c r="J22" s="216"/>
      <c r="K22" s="217"/>
      <c r="L22" s="218"/>
      <c r="M22" s="219"/>
      <c r="N22" s="220"/>
      <c r="O22" s="221"/>
      <c r="P22" s="222"/>
      <c r="Q22" s="223"/>
      <c r="R22" s="224"/>
      <c r="S22" s="225"/>
      <c r="T22" s="226"/>
      <c r="U22" s="227">
        <f t="shared" si="10"/>
        <v>0</v>
      </c>
      <c r="V22" s="227">
        <f t="shared" si="8"/>
        <v>0</v>
      </c>
      <c r="W22" s="227">
        <f>U22*0.9</f>
        <v>0</v>
      </c>
      <c r="X22" s="238">
        <f t="shared" ref="X22:X24" si="13">U22*F22</f>
        <v>0</v>
      </c>
      <c r="Y22" s="204"/>
      <c r="Z22" s="211"/>
    </row>
    <row r="23" spans="1:26" ht="99.75" customHeight="1" x14ac:dyDescent="0.35">
      <c r="B23" s="131" t="s">
        <v>158</v>
      </c>
      <c r="C23" s="114"/>
      <c r="D23" s="113">
        <v>6</v>
      </c>
      <c r="E23" s="113" t="s">
        <v>159</v>
      </c>
      <c r="F23" s="41">
        <v>52.53</v>
      </c>
      <c r="G23" s="213"/>
      <c r="H23" s="214"/>
      <c r="I23" s="215"/>
      <c r="J23" s="216"/>
      <c r="K23" s="217"/>
      <c r="L23" s="218"/>
      <c r="M23" s="219"/>
      <c r="N23" s="220"/>
      <c r="O23" s="221"/>
      <c r="P23" s="222"/>
      <c r="Q23" s="223"/>
      <c r="R23" s="224"/>
      <c r="S23" s="225"/>
      <c r="T23" s="226"/>
      <c r="U23" s="227">
        <f t="shared" si="10"/>
        <v>0</v>
      </c>
      <c r="V23" s="227">
        <f t="shared" si="8"/>
        <v>0</v>
      </c>
      <c r="W23" s="227">
        <f>U23*0.6</f>
        <v>0</v>
      </c>
      <c r="X23" s="238">
        <f t="shared" si="13"/>
        <v>0</v>
      </c>
      <c r="Y23" s="204"/>
      <c r="Z23" s="211"/>
    </row>
    <row r="24" spans="1:26" ht="99.75" customHeight="1" x14ac:dyDescent="0.35">
      <c r="B24" s="40" t="s">
        <v>160</v>
      </c>
      <c r="C24" s="19"/>
      <c r="D24" s="40">
        <v>6</v>
      </c>
      <c r="E24" s="212" t="s">
        <v>161</v>
      </c>
      <c r="F24" s="41">
        <v>59.74</v>
      </c>
      <c r="G24" s="213"/>
      <c r="H24" s="214"/>
      <c r="I24" s="215"/>
      <c r="J24" s="216"/>
      <c r="K24" s="217"/>
      <c r="L24" s="218"/>
      <c r="M24" s="219"/>
      <c r="N24" s="220"/>
      <c r="O24" s="221"/>
      <c r="P24" s="222"/>
      <c r="Q24" s="223"/>
      <c r="R24" s="224"/>
      <c r="S24" s="225"/>
      <c r="T24" s="226"/>
      <c r="U24" s="227">
        <f t="shared" si="10"/>
        <v>0</v>
      </c>
      <c r="V24" s="227">
        <f t="shared" si="8"/>
        <v>0</v>
      </c>
      <c r="W24" s="227">
        <f>U24*0.73</f>
        <v>0</v>
      </c>
      <c r="X24" s="238">
        <f t="shared" si="13"/>
        <v>0</v>
      </c>
      <c r="Y24" s="204"/>
      <c r="Z24" s="211"/>
    </row>
    <row r="25" spans="1:26" ht="99.75" customHeight="1" x14ac:dyDescent="0.35">
      <c r="B25" s="212" t="s">
        <v>162</v>
      </c>
      <c r="C25" s="114"/>
      <c r="D25" s="113">
        <v>6</v>
      </c>
      <c r="E25" s="113" t="s">
        <v>163</v>
      </c>
      <c r="F25" s="41">
        <v>101.97</v>
      </c>
      <c r="G25" s="213"/>
      <c r="H25" s="214"/>
      <c r="I25" s="215"/>
      <c r="J25" s="216"/>
      <c r="K25" s="217"/>
      <c r="L25" s="218"/>
      <c r="M25" s="219"/>
      <c r="N25" s="220"/>
      <c r="O25" s="221"/>
      <c r="P25" s="222"/>
      <c r="Q25" s="223"/>
      <c r="R25" s="224"/>
      <c r="S25" s="225"/>
      <c r="T25" s="226"/>
      <c r="U25" s="227">
        <f t="shared" si="10"/>
        <v>0</v>
      </c>
      <c r="V25" s="227">
        <f t="shared" si="8"/>
        <v>0</v>
      </c>
      <c r="W25" s="227">
        <f>U25*1.6</f>
        <v>0</v>
      </c>
      <c r="X25" s="238">
        <f>F25*U25</f>
        <v>0</v>
      </c>
      <c r="Y25" s="204"/>
      <c r="Z25" s="211"/>
    </row>
    <row r="26" spans="1:26" ht="99.75" customHeight="1" x14ac:dyDescent="0.35">
      <c r="B26" s="212" t="s">
        <v>164</v>
      </c>
      <c r="C26" s="19"/>
      <c r="D26" s="40">
        <v>6</v>
      </c>
      <c r="E26" s="40" t="s">
        <v>165</v>
      </c>
      <c r="F26" s="41">
        <v>123.60000000000001</v>
      </c>
      <c r="G26" s="213"/>
      <c r="H26" s="214"/>
      <c r="I26" s="215"/>
      <c r="J26" s="216"/>
      <c r="K26" s="217"/>
      <c r="L26" s="218"/>
      <c r="M26" s="219"/>
      <c r="N26" s="220"/>
      <c r="O26" s="221"/>
      <c r="P26" s="222"/>
      <c r="Q26" s="223"/>
      <c r="R26" s="224"/>
      <c r="S26" s="225"/>
      <c r="T26" s="226"/>
      <c r="U26" s="227">
        <f t="shared" si="10"/>
        <v>0</v>
      </c>
      <c r="V26" s="227">
        <f t="shared" si="8"/>
        <v>0</v>
      </c>
      <c r="W26" s="227">
        <f>U26*2.1</f>
        <v>0</v>
      </c>
      <c r="X26" s="238">
        <f t="shared" ref="X26:X30" si="14">U26*F26</f>
        <v>0</v>
      </c>
      <c r="Y26" s="204"/>
      <c r="Z26" s="211"/>
    </row>
    <row r="27" spans="1:26" ht="99.75" customHeight="1" x14ac:dyDescent="0.4">
      <c r="A27" s="239"/>
      <c r="B27" s="212" t="s">
        <v>166</v>
      </c>
      <c r="C27" s="19"/>
      <c r="D27" s="40">
        <v>6</v>
      </c>
      <c r="E27" s="40" t="s">
        <v>167</v>
      </c>
      <c r="F27" s="41">
        <v>206</v>
      </c>
      <c r="G27" s="213"/>
      <c r="H27" s="214"/>
      <c r="I27" s="215"/>
      <c r="J27" s="216"/>
      <c r="K27" s="217"/>
      <c r="L27" s="218"/>
      <c r="M27" s="219"/>
      <c r="N27" s="220"/>
      <c r="O27" s="221"/>
      <c r="P27" s="222"/>
      <c r="Q27" s="223"/>
      <c r="R27" s="224"/>
      <c r="S27" s="225"/>
      <c r="T27" s="226"/>
      <c r="U27" s="227">
        <f t="shared" si="10"/>
        <v>0</v>
      </c>
      <c r="V27" s="227">
        <f t="shared" si="8"/>
        <v>0</v>
      </c>
      <c r="W27" s="227">
        <f>U27*2.2</f>
        <v>0</v>
      </c>
      <c r="X27" s="238">
        <f t="shared" si="14"/>
        <v>0</v>
      </c>
      <c r="Y27" s="204"/>
      <c r="Z27" s="211"/>
    </row>
    <row r="28" spans="1:26" ht="99.75" customHeight="1" x14ac:dyDescent="0.35">
      <c r="B28" s="212" t="s">
        <v>168</v>
      </c>
      <c r="C28" s="19"/>
      <c r="D28" s="40">
        <v>6</v>
      </c>
      <c r="E28" s="40" t="s">
        <v>169</v>
      </c>
      <c r="F28" s="41">
        <v>309</v>
      </c>
      <c r="G28" s="213"/>
      <c r="H28" s="214"/>
      <c r="I28" s="215"/>
      <c r="J28" s="216"/>
      <c r="K28" s="217"/>
      <c r="L28" s="218"/>
      <c r="M28" s="219"/>
      <c r="N28" s="220"/>
      <c r="O28" s="221"/>
      <c r="P28" s="222"/>
      <c r="Q28" s="223"/>
      <c r="R28" s="224"/>
      <c r="S28" s="225"/>
      <c r="T28" s="226"/>
      <c r="U28" s="227">
        <f t="shared" si="10"/>
        <v>0</v>
      </c>
      <c r="V28" s="227">
        <f t="shared" si="8"/>
        <v>0</v>
      </c>
      <c r="W28" s="227">
        <f>U28*4</f>
        <v>0</v>
      </c>
      <c r="X28" s="238">
        <f t="shared" si="14"/>
        <v>0</v>
      </c>
      <c r="Y28" s="204"/>
      <c r="Z28" s="211"/>
    </row>
    <row r="29" spans="1:26" ht="99.75" customHeight="1" x14ac:dyDescent="0.35">
      <c r="B29" s="212" t="s">
        <v>170</v>
      </c>
      <c r="C29" s="19"/>
      <c r="D29" s="40">
        <v>6</v>
      </c>
      <c r="E29" s="40" t="s">
        <v>171</v>
      </c>
      <c r="F29" s="41">
        <v>414.06</v>
      </c>
      <c r="G29" s="213"/>
      <c r="H29" s="214"/>
      <c r="I29" s="215"/>
      <c r="J29" s="216"/>
      <c r="K29" s="217"/>
      <c r="L29" s="218"/>
      <c r="M29" s="219"/>
      <c r="N29" s="220"/>
      <c r="O29" s="221"/>
      <c r="P29" s="222"/>
      <c r="Q29" s="223"/>
      <c r="R29" s="224"/>
      <c r="S29" s="225"/>
      <c r="T29" s="226"/>
      <c r="U29" s="227">
        <f t="shared" si="10"/>
        <v>0</v>
      </c>
      <c r="V29" s="227">
        <f t="shared" si="8"/>
        <v>0</v>
      </c>
      <c r="W29" s="227">
        <f>U29*5.85</f>
        <v>0</v>
      </c>
      <c r="X29" s="238">
        <f t="shared" si="14"/>
        <v>0</v>
      </c>
      <c r="Y29" s="204"/>
      <c r="Z29" s="211"/>
    </row>
    <row r="30" spans="1:26" ht="99.75" customHeight="1" x14ac:dyDescent="0.35">
      <c r="B30" s="862" t="s">
        <v>172</v>
      </c>
      <c r="C30" s="893"/>
      <c r="D30" s="894">
        <v>6</v>
      </c>
      <c r="E30" s="894" t="s">
        <v>173</v>
      </c>
      <c r="F30" s="895">
        <v>660.23</v>
      </c>
      <c r="G30" s="896"/>
      <c r="H30" s="897"/>
      <c r="I30" s="898"/>
      <c r="J30" s="899"/>
      <c r="K30" s="900"/>
      <c r="L30" s="901"/>
      <c r="M30" s="902"/>
      <c r="N30" s="903"/>
      <c r="O30" s="904"/>
      <c r="P30" s="905"/>
      <c r="Q30" s="906"/>
      <c r="R30" s="907"/>
      <c r="S30" s="908"/>
      <c r="T30" s="909"/>
      <c r="U30" s="910">
        <f t="shared" si="10"/>
        <v>0</v>
      </c>
      <c r="V30" s="910">
        <f t="shared" si="8"/>
        <v>0</v>
      </c>
      <c r="W30" s="910">
        <f>U30*10.2</f>
        <v>0</v>
      </c>
      <c r="X30" s="911">
        <f t="shared" si="14"/>
        <v>0</v>
      </c>
      <c r="Y30" s="204"/>
      <c r="Z30" s="211"/>
    </row>
    <row r="31" spans="1:26" ht="36" customHeight="1" x14ac:dyDescent="0.35">
      <c r="B31" s="912"/>
      <c r="C31" s="913"/>
      <c r="D31" s="912"/>
      <c r="E31" s="912"/>
      <c r="F31" s="878" t="s">
        <v>20</v>
      </c>
      <c r="G31" s="914">
        <f>SUM(G17:G30)</f>
        <v>0</v>
      </c>
      <c r="H31" s="914">
        <f t="shared" ref="H31:T31" si="15">SUM(H17:H30)</f>
        <v>0</v>
      </c>
      <c r="I31" s="914">
        <f t="shared" si="15"/>
        <v>0</v>
      </c>
      <c r="J31" s="914">
        <f t="shared" si="15"/>
        <v>0</v>
      </c>
      <c r="K31" s="914">
        <f t="shared" si="15"/>
        <v>0</v>
      </c>
      <c r="L31" s="914">
        <f t="shared" si="15"/>
        <v>0</v>
      </c>
      <c r="M31" s="914">
        <f t="shared" si="15"/>
        <v>0</v>
      </c>
      <c r="N31" s="914">
        <f t="shared" si="15"/>
        <v>0</v>
      </c>
      <c r="O31" s="914">
        <f t="shared" si="15"/>
        <v>0</v>
      </c>
      <c r="P31" s="914">
        <f t="shared" si="15"/>
        <v>0</v>
      </c>
      <c r="Q31" s="914">
        <f t="shared" si="15"/>
        <v>0</v>
      </c>
      <c r="R31" s="914">
        <f t="shared" si="15"/>
        <v>0</v>
      </c>
      <c r="S31" s="914">
        <f t="shared" si="15"/>
        <v>0</v>
      </c>
      <c r="T31" s="914">
        <f t="shared" si="15"/>
        <v>0</v>
      </c>
      <c r="U31" s="914">
        <f>SUM(U17:U30)</f>
        <v>0</v>
      </c>
      <c r="V31" s="914">
        <f t="shared" ref="V31" si="16">SUM(V17:V30)</f>
        <v>0</v>
      </c>
      <c r="W31" s="914">
        <f t="shared" ref="W31" si="17">SUM(W17:W30)</f>
        <v>0</v>
      </c>
      <c r="X31" s="915">
        <f>SUM(X17:X30)</f>
        <v>0</v>
      </c>
      <c r="Y31" s="204"/>
      <c r="Z31" s="211"/>
    </row>
    <row r="32" spans="1:26" ht="15.75" customHeight="1" x14ac:dyDescent="0.3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04"/>
      <c r="V32" s="204"/>
      <c r="W32" s="204"/>
      <c r="X32" s="204"/>
      <c r="Y32" s="204"/>
      <c r="Z32" s="204"/>
    </row>
    <row r="33" spans="2:26" ht="24" customHeight="1" x14ac:dyDescent="0.6">
      <c r="B33" s="1050" t="s">
        <v>174</v>
      </c>
      <c r="C33" s="1031"/>
      <c r="D33" s="1031"/>
      <c r="E33" s="1031"/>
      <c r="F33" s="1031"/>
      <c r="G33" s="241"/>
      <c r="H33" s="241"/>
      <c r="I33" s="241"/>
      <c r="J33" s="242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04"/>
      <c r="V33" s="204"/>
      <c r="W33" s="204"/>
      <c r="X33" s="243"/>
      <c r="Y33" s="204"/>
      <c r="Z33" s="211"/>
    </row>
    <row r="34" spans="2:26" ht="15.75" customHeight="1" thickBot="1" x14ac:dyDescent="0.4">
      <c r="B34" s="3"/>
      <c r="C34" s="3"/>
      <c r="D34" s="3"/>
      <c r="E34" s="3"/>
      <c r="F34" s="4"/>
      <c r="G34" s="241"/>
      <c r="H34" s="241"/>
      <c r="I34" s="241"/>
      <c r="J34" s="242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04"/>
      <c r="V34" s="204"/>
      <c r="W34" s="204"/>
      <c r="X34" s="243"/>
      <c r="Y34" s="204"/>
      <c r="Z34" s="211"/>
    </row>
    <row r="35" spans="2:26" ht="29.25" customHeight="1" thickBot="1" x14ac:dyDescent="0.4">
      <c r="B35" s="1046" t="s">
        <v>993</v>
      </c>
      <c r="C35" s="1046"/>
      <c r="D35" s="921">
        <f>SUM(D36:D45)</f>
        <v>60</v>
      </c>
      <c r="E35" s="922" t="s">
        <v>991</v>
      </c>
      <c r="F35" s="923">
        <f>SUM(F36:F45)*0.95</f>
        <v>1094.9414999999999</v>
      </c>
      <c r="G35" s="247"/>
      <c r="H35" s="248"/>
      <c r="I35" s="249"/>
      <c r="J35" s="250"/>
      <c r="K35" s="251"/>
      <c r="L35" s="252"/>
      <c r="M35" s="253"/>
      <c r="N35" s="254"/>
      <c r="O35" s="255"/>
      <c r="P35" s="256"/>
      <c r="Q35" s="257"/>
      <c r="R35" s="258"/>
      <c r="S35" s="259"/>
      <c r="T35" s="260"/>
      <c r="U35" s="261">
        <f t="shared" ref="U35" si="18">SUM(G35:T35)</f>
        <v>0</v>
      </c>
      <c r="V35" s="261">
        <f t="shared" ref="V35:V45" si="19">U35*D35</f>
        <v>0</v>
      </c>
      <c r="W35" s="261">
        <f>U35*0.55</f>
        <v>0</v>
      </c>
      <c r="X35" s="262">
        <f t="shared" ref="X35" si="20">U35*F35</f>
        <v>0</v>
      </c>
      <c r="Y35" s="916"/>
      <c r="Z35" s="917"/>
    </row>
    <row r="36" spans="2:26" ht="99.75" customHeight="1" thickBot="1" x14ac:dyDescent="0.4">
      <c r="B36" s="244" t="s">
        <v>175</v>
      </c>
      <c r="C36" s="245"/>
      <c r="D36" s="246">
        <v>6</v>
      </c>
      <c r="E36" s="246" t="s">
        <v>176</v>
      </c>
      <c r="F36" s="41">
        <v>41.2</v>
      </c>
      <c r="G36" s="247"/>
      <c r="H36" s="248"/>
      <c r="I36" s="249"/>
      <c r="J36" s="250"/>
      <c r="K36" s="251"/>
      <c r="L36" s="252"/>
      <c r="M36" s="253"/>
      <c r="N36" s="254"/>
      <c r="O36" s="255"/>
      <c r="P36" s="256"/>
      <c r="Q36" s="257"/>
      <c r="R36" s="258"/>
      <c r="S36" s="259"/>
      <c r="T36" s="260"/>
      <c r="U36" s="261">
        <f t="shared" ref="U36:U45" si="21">SUM(G36:T36)</f>
        <v>0</v>
      </c>
      <c r="V36" s="261">
        <f t="shared" si="19"/>
        <v>0</v>
      </c>
      <c r="W36" s="261">
        <f>U36*0.55</f>
        <v>0</v>
      </c>
      <c r="X36" s="262">
        <f t="shared" ref="X36:X45" si="22">U36*F36</f>
        <v>0</v>
      </c>
      <c r="Y36" s="204"/>
      <c r="Z36" s="211"/>
    </row>
    <row r="37" spans="2:26" ht="99.75" customHeight="1" x14ac:dyDescent="0.35">
      <c r="B37" s="230" t="s">
        <v>177</v>
      </c>
      <c r="C37" s="263"/>
      <c r="D37" s="40">
        <v>6</v>
      </c>
      <c r="E37" s="40" t="s">
        <v>178</v>
      </c>
      <c r="F37" s="41">
        <v>32.96</v>
      </c>
      <c r="G37" s="213"/>
      <c r="H37" s="214"/>
      <c r="I37" s="215"/>
      <c r="J37" s="216"/>
      <c r="K37" s="217"/>
      <c r="L37" s="218"/>
      <c r="M37" s="219"/>
      <c r="N37" s="220"/>
      <c r="O37" s="221"/>
      <c r="P37" s="222"/>
      <c r="Q37" s="223"/>
      <c r="R37" s="224"/>
      <c r="S37" s="225"/>
      <c r="T37" s="264"/>
      <c r="U37" s="261">
        <f t="shared" si="21"/>
        <v>0</v>
      </c>
      <c r="V37" s="227">
        <f t="shared" si="19"/>
        <v>0</v>
      </c>
      <c r="W37" s="227">
        <f>U37*0.4</f>
        <v>0</v>
      </c>
      <c r="X37" s="228">
        <f t="shared" si="22"/>
        <v>0</v>
      </c>
      <c r="Y37" s="204"/>
      <c r="Z37" s="211"/>
    </row>
    <row r="38" spans="2:26" ht="99.75" customHeight="1" x14ac:dyDescent="0.35">
      <c r="B38" s="230" t="s">
        <v>179</v>
      </c>
      <c r="C38" s="263"/>
      <c r="D38" s="40">
        <v>6</v>
      </c>
      <c r="E38" s="40" t="s">
        <v>180</v>
      </c>
      <c r="F38" s="41">
        <v>71.070000000000007</v>
      </c>
      <c r="G38" s="213"/>
      <c r="H38" s="214"/>
      <c r="I38" s="215"/>
      <c r="J38" s="216"/>
      <c r="K38" s="217"/>
      <c r="L38" s="218"/>
      <c r="M38" s="219"/>
      <c r="N38" s="220"/>
      <c r="O38" s="221"/>
      <c r="P38" s="222"/>
      <c r="Q38" s="223"/>
      <c r="R38" s="224"/>
      <c r="S38" s="225"/>
      <c r="T38" s="264"/>
      <c r="U38" s="261">
        <f t="shared" si="21"/>
        <v>0</v>
      </c>
      <c r="V38" s="227">
        <f t="shared" si="19"/>
        <v>0</v>
      </c>
      <c r="W38" s="227">
        <f>U38*1.2</f>
        <v>0</v>
      </c>
      <c r="X38" s="228">
        <f t="shared" si="22"/>
        <v>0</v>
      </c>
      <c r="Y38" s="204"/>
      <c r="Z38" s="211"/>
    </row>
    <row r="39" spans="2:26" ht="99.75" customHeight="1" x14ac:dyDescent="0.35">
      <c r="B39" s="230" t="s">
        <v>181</v>
      </c>
      <c r="C39" s="263"/>
      <c r="D39" s="40">
        <v>6</v>
      </c>
      <c r="E39" s="40" t="s">
        <v>182</v>
      </c>
      <c r="F39" s="41">
        <v>50.47</v>
      </c>
      <c r="G39" s="213"/>
      <c r="H39" s="214"/>
      <c r="I39" s="215"/>
      <c r="J39" s="216"/>
      <c r="K39" s="217"/>
      <c r="L39" s="218"/>
      <c r="M39" s="219"/>
      <c r="N39" s="220"/>
      <c r="O39" s="221"/>
      <c r="P39" s="222"/>
      <c r="Q39" s="223"/>
      <c r="R39" s="224"/>
      <c r="S39" s="225"/>
      <c r="T39" s="264"/>
      <c r="U39" s="261">
        <f t="shared" si="21"/>
        <v>0</v>
      </c>
      <c r="V39" s="227">
        <f t="shared" si="19"/>
        <v>0</v>
      </c>
      <c r="W39" s="227">
        <f>U39*0.77</f>
        <v>0</v>
      </c>
      <c r="X39" s="228">
        <f t="shared" si="22"/>
        <v>0</v>
      </c>
      <c r="Y39" s="204"/>
      <c r="Z39" s="211"/>
    </row>
    <row r="40" spans="2:26" ht="99.75" customHeight="1" x14ac:dyDescent="0.35">
      <c r="B40" s="230" t="s">
        <v>183</v>
      </c>
      <c r="C40" s="263"/>
      <c r="D40" s="40">
        <v>6</v>
      </c>
      <c r="E40" s="40" t="s">
        <v>184</v>
      </c>
      <c r="F40" s="41">
        <v>119.48</v>
      </c>
      <c r="G40" s="213"/>
      <c r="H40" s="214"/>
      <c r="I40" s="215"/>
      <c r="J40" s="216"/>
      <c r="K40" s="217"/>
      <c r="L40" s="218"/>
      <c r="M40" s="219"/>
      <c r="N40" s="220"/>
      <c r="O40" s="221"/>
      <c r="P40" s="222"/>
      <c r="Q40" s="223"/>
      <c r="R40" s="224"/>
      <c r="S40" s="225"/>
      <c r="T40" s="264"/>
      <c r="U40" s="261">
        <f t="shared" si="21"/>
        <v>0</v>
      </c>
      <c r="V40" s="227">
        <f t="shared" si="19"/>
        <v>0</v>
      </c>
      <c r="W40" s="227">
        <f>U40*2.27</f>
        <v>0</v>
      </c>
      <c r="X40" s="228">
        <f t="shared" si="22"/>
        <v>0</v>
      </c>
      <c r="Y40" s="204"/>
      <c r="Z40" s="211"/>
    </row>
    <row r="41" spans="2:26" ht="99.75" customHeight="1" x14ac:dyDescent="0.35">
      <c r="B41" s="230" t="s">
        <v>185</v>
      </c>
      <c r="C41" s="263"/>
      <c r="D41" s="40">
        <v>6</v>
      </c>
      <c r="E41" s="40" t="s">
        <v>186</v>
      </c>
      <c r="F41" s="41">
        <v>62.83</v>
      </c>
      <c r="G41" s="213"/>
      <c r="H41" s="214"/>
      <c r="I41" s="215"/>
      <c r="J41" s="216"/>
      <c r="K41" s="217"/>
      <c r="L41" s="218"/>
      <c r="M41" s="219"/>
      <c r="N41" s="220"/>
      <c r="O41" s="221"/>
      <c r="P41" s="222"/>
      <c r="Q41" s="223"/>
      <c r="R41" s="224"/>
      <c r="S41" s="225"/>
      <c r="T41" s="264"/>
      <c r="U41" s="261">
        <f t="shared" si="21"/>
        <v>0</v>
      </c>
      <c r="V41" s="227">
        <f t="shared" si="19"/>
        <v>0</v>
      </c>
      <c r="W41" s="227">
        <f>U41*1.04</f>
        <v>0</v>
      </c>
      <c r="X41" s="228">
        <f t="shared" si="22"/>
        <v>0</v>
      </c>
      <c r="Y41" s="204"/>
      <c r="Z41" s="211"/>
    </row>
    <row r="42" spans="2:26" ht="99.75" customHeight="1" x14ac:dyDescent="0.35">
      <c r="B42" s="230" t="s">
        <v>187</v>
      </c>
      <c r="C42" s="263"/>
      <c r="D42" s="40">
        <v>6</v>
      </c>
      <c r="E42" s="40" t="s">
        <v>188</v>
      </c>
      <c r="F42" s="41">
        <v>99.91</v>
      </c>
      <c r="G42" s="213"/>
      <c r="H42" s="214"/>
      <c r="I42" s="215"/>
      <c r="J42" s="216"/>
      <c r="K42" s="217"/>
      <c r="L42" s="218"/>
      <c r="M42" s="219"/>
      <c r="N42" s="220"/>
      <c r="O42" s="221"/>
      <c r="P42" s="222"/>
      <c r="Q42" s="223"/>
      <c r="R42" s="224"/>
      <c r="S42" s="225"/>
      <c r="T42" s="264"/>
      <c r="U42" s="261">
        <f t="shared" si="21"/>
        <v>0</v>
      </c>
      <c r="V42" s="227">
        <f t="shared" si="19"/>
        <v>0</v>
      </c>
      <c r="W42" s="227">
        <f>U42*1.84</f>
        <v>0</v>
      </c>
      <c r="X42" s="228">
        <f t="shared" si="22"/>
        <v>0</v>
      </c>
      <c r="Y42" s="204"/>
      <c r="Z42" s="211"/>
    </row>
    <row r="43" spans="2:26" ht="99.75" customHeight="1" x14ac:dyDescent="0.35">
      <c r="B43" s="265" t="s">
        <v>189</v>
      </c>
      <c r="C43" s="165"/>
      <c r="D43" s="113">
        <v>6</v>
      </c>
      <c r="E43" s="113" t="s">
        <v>190</v>
      </c>
      <c r="F43" s="41">
        <v>186.43</v>
      </c>
      <c r="G43" s="213"/>
      <c r="H43" s="214"/>
      <c r="I43" s="215"/>
      <c r="J43" s="229"/>
      <c r="K43" s="217"/>
      <c r="L43" s="218"/>
      <c r="M43" s="219"/>
      <c r="N43" s="220"/>
      <c r="O43" s="221"/>
      <c r="P43" s="222"/>
      <c r="Q43" s="223"/>
      <c r="R43" s="224"/>
      <c r="S43" s="225"/>
      <c r="T43" s="264"/>
      <c r="U43" s="261">
        <f t="shared" si="21"/>
        <v>0</v>
      </c>
      <c r="V43" s="227">
        <f t="shared" si="19"/>
        <v>0</v>
      </c>
      <c r="W43" s="227"/>
      <c r="X43" s="228">
        <f t="shared" si="22"/>
        <v>0</v>
      </c>
      <c r="Y43" s="204"/>
      <c r="Z43" s="211"/>
    </row>
    <row r="44" spans="2:26" ht="99.75" customHeight="1" x14ac:dyDescent="0.35">
      <c r="B44" s="265" t="s">
        <v>191</v>
      </c>
      <c r="C44" s="165"/>
      <c r="D44" s="113">
        <v>6</v>
      </c>
      <c r="E44" s="113" t="s">
        <v>192</v>
      </c>
      <c r="F44" s="41">
        <v>224.54</v>
      </c>
      <c r="G44" s="213"/>
      <c r="H44" s="214"/>
      <c r="I44" s="215"/>
      <c r="J44" s="216"/>
      <c r="K44" s="217"/>
      <c r="L44" s="218"/>
      <c r="M44" s="219"/>
      <c r="N44" s="220"/>
      <c r="O44" s="221"/>
      <c r="P44" s="222"/>
      <c r="Q44" s="223"/>
      <c r="R44" s="224"/>
      <c r="S44" s="225"/>
      <c r="T44" s="264"/>
      <c r="U44" s="261">
        <f t="shared" si="21"/>
        <v>0</v>
      </c>
      <c r="V44" s="227">
        <f t="shared" si="19"/>
        <v>0</v>
      </c>
      <c r="W44" s="227"/>
      <c r="X44" s="228">
        <f t="shared" si="22"/>
        <v>0</v>
      </c>
      <c r="Y44" s="204"/>
      <c r="Z44" s="211"/>
    </row>
    <row r="45" spans="2:26" ht="99.75" customHeight="1" x14ac:dyDescent="0.35">
      <c r="B45" s="266" t="s">
        <v>193</v>
      </c>
      <c r="C45" s="267"/>
      <c r="D45" s="17">
        <v>6</v>
      </c>
      <c r="E45" s="17" t="s">
        <v>194</v>
      </c>
      <c r="F45" s="41">
        <v>263.68</v>
      </c>
      <c r="G45" s="268"/>
      <c r="H45" s="269"/>
      <c r="I45" s="270"/>
      <c r="J45" s="271"/>
      <c r="K45" s="272"/>
      <c r="L45" s="273"/>
      <c r="M45" s="274"/>
      <c r="N45" s="275"/>
      <c r="O45" s="276"/>
      <c r="P45" s="277"/>
      <c r="Q45" s="278"/>
      <c r="R45" s="279"/>
      <c r="S45" s="280"/>
      <c r="T45" s="281"/>
      <c r="U45" s="261">
        <f t="shared" si="21"/>
        <v>0</v>
      </c>
      <c r="V45" s="282">
        <f t="shared" si="19"/>
        <v>0</v>
      </c>
      <c r="W45" s="282">
        <f>U45*3.62</f>
        <v>0</v>
      </c>
      <c r="X45" s="283">
        <f t="shared" si="22"/>
        <v>0</v>
      </c>
      <c r="Y45" s="204"/>
      <c r="Z45" s="211"/>
    </row>
    <row r="46" spans="2:26" ht="15.75" customHeight="1" x14ac:dyDescent="0.35">
      <c r="B46" s="3"/>
      <c r="C46" s="3"/>
      <c r="D46" s="3"/>
      <c r="E46" s="3"/>
      <c r="F46" s="4" t="s">
        <v>20</v>
      </c>
      <c r="G46" s="108">
        <f>SUM(G35:G45)</f>
        <v>0</v>
      </c>
      <c r="H46" s="108">
        <f t="shared" ref="H46:T46" si="23">SUM(H35:H45)</f>
        <v>0</v>
      </c>
      <c r="I46" s="108">
        <f t="shared" si="23"/>
        <v>0</v>
      </c>
      <c r="J46" s="108">
        <f t="shared" si="23"/>
        <v>0</v>
      </c>
      <c r="K46" s="108">
        <f t="shared" si="23"/>
        <v>0</v>
      </c>
      <c r="L46" s="108">
        <f t="shared" si="23"/>
        <v>0</v>
      </c>
      <c r="M46" s="108">
        <f t="shared" si="23"/>
        <v>0</v>
      </c>
      <c r="N46" s="108">
        <f t="shared" si="23"/>
        <v>0</v>
      </c>
      <c r="O46" s="108">
        <f t="shared" si="23"/>
        <v>0</v>
      </c>
      <c r="P46" s="108">
        <f t="shared" si="23"/>
        <v>0</v>
      </c>
      <c r="Q46" s="108">
        <f t="shared" si="23"/>
        <v>0</v>
      </c>
      <c r="R46" s="108">
        <f t="shared" si="23"/>
        <v>0</v>
      </c>
      <c r="S46" s="108">
        <f t="shared" si="23"/>
        <v>0</v>
      </c>
      <c r="T46" s="108">
        <f t="shared" si="23"/>
        <v>0</v>
      </c>
      <c r="U46" s="108">
        <f>SUM(U35:U45)</f>
        <v>0</v>
      </c>
      <c r="V46" s="108">
        <f t="shared" ref="V46" si="24">SUM(V35:V45)</f>
        <v>0</v>
      </c>
      <c r="W46" s="108">
        <f t="shared" ref="W46" si="25">SUM(W35:W45)</f>
        <v>0</v>
      </c>
      <c r="X46" s="240">
        <f>SUM(X35:X45)</f>
        <v>0</v>
      </c>
      <c r="Y46" s="204"/>
      <c r="Z46" s="204"/>
    </row>
    <row r="47" spans="2:26" ht="15.75" customHeight="1" x14ac:dyDescent="0.35"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04"/>
      <c r="V47" s="204"/>
      <c r="W47" s="204"/>
      <c r="X47" s="204"/>
      <c r="Y47" s="204"/>
      <c r="Z47" s="204"/>
    </row>
    <row r="48" spans="2:26" ht="15.75" customHeight="1" x14ac:dyDescent="0.35"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04"/>
      <c r="V48" s="204"/>
      <c r="W48" s="204"/>
      <c r="X48" s="204"/>
      <c r="Y48" s="204"/>
      <c r="Z48" s="204"/>
    </row>
    <row r="49" spans="6:26" ht="15.75" customHeight="1" x14ac:dyDescent="0.35"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04"/>
      <c r="V49" s="204"/>
      <c r="W49" s="204"/>
      <c r="X49" s="204"/>
      <c r="Y49" s="204"/>
      <c r="Z49" s="204"/>
    </row>
    <row r="50" spans="6:26" ht="15.75" customHeight="1" x14ac:dyDescent="0.35"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04"/>
      <c r="V50" s="204"/>
      <c r="W50" s="204"/>
      <c r="X50" s="204"/>
      <c r="Y50" s="204"/>
      <c r="Z50" s="204"/>
    </row>
    <row r="51" spans="6:26" ht="15.75" customHeight="1" x14ac:dyDescent="0.35"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04"/>
      <c r="V51" s="204"/>
      <c r="W51" s="204"/>
      <c r="X51" s="204"/>
      <c r="Y51" s="204"/>
      <c r="Z51" s="204"/>
    </row>
    <row r="52" spans="6:26" ht="15.75" customHeight="1" x14ac:dyDescent="0.35"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04"/>
      <c r="V52" s="204"/>
      <c r="W52" s="204"/>
      <c r="X52" s="204"/>
      <c r="Y52" s="204"/>
      <c r="Z52" s="204"/>
    </row>
    <row r="53" spans="6:26" ht="15.75" customHeight="1" x14ac:dyDescent="0.35"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04"/>
      <c r="V53" s="204"/>
      <c r="W53" s="204"/>
      <c r="X53" s="204"/>
      <c r="Y53" s="204"/>
      <c r="Z53" s="204"/>
    </row>
    <row r="54" spans="6:26" ht="15.75" customHeight="1" x14ac:dyDescent="0.35"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04"/>
      <c r="V54" s="204"/>
      <c r="W54" s="204"/>
      <c r="X54" s="204"/>
      <c r="Y54" s="204"/>
      <c r="Z54" s="204"/>
    </row>
    <row r="55" spans="6:26" ht="15.75" customHeight="1" x14ac:dyDescent="0.35"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04"/>
      <c r="V55" s="204"/>
      <c r="W55" s="204"/>
      <c r="X55" s="204"/>
      <c r="Y55" s="204"/>
      <c r="Z55" s="204"/>
    </row>
    <row r="56" spans="6:26" ht="15.75" customHeight="1" x14ac:dyDescent="0.35"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04"/>
      <c r="V56" s="204"/>
      <c r="W56" s="204"/>
      <c r="X56" s="204"/>
      <c r="Y56" s="204"/>
      <c r="Z56" s="204"/>
    </row>
    <row r="57" spans="6:26" ht="15.75" customHeight="1" x14ac:dyDescent="0.35"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04"/>
      <c r="V57" s="204"/>
      <c r="W57" s="204"/>
      <c r="X57" s="204"/>
      <c r="Y57" s="204"/>
      <c r="Z57" s="204"/>
    </row>
    <row r="58" spans="6:26" ht="15.75" customHeight="1" x14ac:dyDescent="0.35"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04"/>
      <c r="V58" s="204"/>
      <c r="W58" s="204"/>
      <c r="X58" s="204"/>
      <c r="Y58" s="204"/>
      <c r="Z58" s="204"/>
    </row>
    <row r="59" spans="6:26" ht="15.75" customHeight="1" x14ac:dyDescent="0.35"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04"/>
      <c r="V59" s="204"/>
      <c r="W59" s="204"/>
      <c r="X59" s="204"/>
      <c r="Y59" s="204"/>
      <c r="Z59" s="204"/>
    </row>
    <row r="60" spans="6:26" ht="15.75" customHeight="1" x14ac:dyDescent="0.35"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04"/>
      <c r="V60" s="204"/>
      <c r="W60" s="204"/>
      <c r="X60" s="204"/>
      <c r="Y60" s="204"/>
      <c r="Z60" s="204"/>
    </row>
    <row r="61" spans="6:26" ht="15.75" customHeight="1" x14ac:dyDescent="0.35"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04"/>
      <c r="V61" s="204"/>
      <c r="W61" s="204"/>
      <c r="X61" s="204"/>
      <c r="Y61" s="204"/>
      <c r="Z61" s="204"/>
    </row>
    <row r="62" spans="6:26" ht="15.75" customHeight="1" x14ac:dyDescent="0.35"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04"/>
      <c r="V62" s="204"/>
      <c r="W62" s="204"/>
      <c r="X62" s="204"/>
      <c r="Y62" s="204"/>
      <c r="Z62" s="204"/>
    </row>
    <row r="63" spans="6:26" ht="15.75" customHeight="1" x14ac:dyDescent="0.35"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04"/>
      <c r="V63" s="204"/>
      <c r="W63" s="204"/>
      <c r="X63" s="204"/>
      <c r="Y63" s="204"/>
      <c r="Z63" s="204"/>
    </row>
    <row r="64" spans="6:26" ht="15.75" customHeight="1" x14ac:dyDescent="0.35"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04"/>
      <c r="V64" s="204"/>
      <c r="W64" s="204"/>
      <c r="X64" s="204"/>
      <c r="Y64" s="204"/>
      <c r="Z64" s="204"/>
    </row>
    <row r="65" spans="6:26" ht="15.75" customHeight="1" x14ac:dyDescent="0.35"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04"/>
      <c r="V65" s="204"/>
      <c r="W65" s="204"/>
      <c r="X65" s="204"/>
      <c r="Y65" s="204"/>
      <c r="Z65" s="204"/>
    </row>
    <row r="66" spans="6:26" ht="15.75" customHeight="1" x14ac:dyDescent="0.35"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04"/>
      <c r="V66" s="204"/>
      <c r="W66" s="204"/>
      <c r="X66" s="204"/>
      <c r="Y66" s="204"/>
      <c r="Z66" s="204"/>
    </row>
    <row r="67" spans="6:26" ht="15.75" customHeight="1" x14ac:dyDescent="0.35"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04"/>
      <c r="V67" s="204"/>
      <c r="W67" s="204"/>
      <c r="X67" s="204"/>
      <c r="Y67" s="204"/>
      <c r="Z67" s="204"/>
    </row>
    <row r="68" spans="6:26" ht="15.75" customHeight="1" x14ac:dyDescent="0.35"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04"/>
      <c r="V68" s="204"/>
      <c r="W68" s="204"/>
      <c r="X68" s="204"/>
      <c r="Y68" s="204"/>
      <c r="Z68" s="204"/>
    </row>
    <row r="69" spans="6:26" ht="15.75" customHeight="1" x14ac:dyDescent="0.35"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04"/>
      <c r="V69" s="204"/>
      <c r="W69" s="204"/>
      <c r="X69" s="204"/>
      <c r="Y69" s="204"/>
      <c r="Z69" s="204"/>
    </row>
    <row r="70" spans="6:26" ht="15.75" customHeight="1" x14ac:dyDescent="0.35"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04"/>
      <c r="V70" s="204"/>
      <c r="W70" s="204"/>
      <c r="X70" s="204"/>
      <c r="Y70" s="204"/>
      <c r="Z70" s="204"/>
    </row>
    <row r="71" spans="6:26" ht="15.75" customHeight="1" x14ac:dyDescent="0.35"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04"/>
      <c r="V71" s="204"/>
      <c r="W71" s="204"/>
      <c r="X71" s="204"/>
      <c r="Y71" s="204"/>
      <c r="Z71" s="204"/>
    </row>
    <row r="72" spans="6:26" ht="15.75" customHeight="1" x14ac:dyDescent="0.35"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04"/>
      <c r="V72" s="204"/>
      <c r="W72" s="204"/>
      <c r="X72" s="204"/>
      <c r="Y72" s="204"/>
      <c r="Z72" s="204"/>
    </row>
    <row r="73" spans="6:26" ht="15.75" customHeight="1" x14ac:dyDescent="0.35"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04"/>
      <c r="V73" s="204"/>
      <c r="W73" s="204"/>
      <c r="X73" s="204"/>
      <c r="Y73" s="204"/>
      <c r="Z73" s="204"/>
    </row>
    <row r="74" spans="6:26" ht="15.75" customHeight="1" x14ac:dyDescent="0.35"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04"/>
      <c r="V74" s="204"/>
      <c r="W74" s="204"/>
      <c r="X74" s="204"/>
      <c r="Y74" s="204"/>
      <c r="Z74" s="204"/>
    </row>
    <row r="75" spans="6:26" ht="15.75" customHeight="1" x14ac:dyDescent="0.35"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04"/>
      <c r="V75" s="204"/>
      <c r="W75" s="204"/>
      <c r="X75" s="204"/>
      <c r="Y75" s="204"/>
      <c r="Z75" s="204"/>
    </row>
    <row r="76" spans="6:26" ht="15.75" customHeight="1" x14ac:dyDescent="0.35"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04"/>
      <c r="V76" s="204"/>
      <c r="W76" s="204"/>
      <c r="X76" s="204"/>
      <c r="Y76" s="204"/>
      <c r="Z76" s="204"/>
    </row>
    <row r="77" spans="6:26" ht="15.75" customHeight="1" x14ac:dyDescent="0.35"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04"/>
      <c r="V77" s="204"/>
      <c r="W77" s="204"/>
      <c r="X77" s="204"/>
      <c r="Y77" s="204"/>
      <c r="Z77" s="204"/>
    </row>
    <row r="78" spans="6:26" ht="15.75" customHeight="1" x14ac:dyDescent="0.35"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04"/>
      <c r="V78" s="204"/>
      <c r="W78" s="204"/>
      <c r="X78" s="204"/>
      <c r="Y78" s="204"/>
      <c r="Z78" s="204"/>
    </row>
    <row r="79" spans="6:26" ht="15.75" customHeight="1" x14ac:dyDescent="0.35"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04"/>
      <c r="V79" s="204"/>
      <c r="W79" s="204"/>
      <c r="X79" s="204"/>
      <c r="Y79" s="204"/>
      <c r="Z79" s="204"/>
    </row>
    <row r="80" spans="6:26" ht="15.75" customHeight="1" x14ac:dyDescent="0.35"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04"/>
      <c r="V80" s="204"/>
      <c r="W80" s="204"/>
      <c r="X80" s="204"/>
      <c r="Y80" s="204"/>
      <c r="Z80" s="204"/>
    </row>
    <row r="81" spans="6:26" ht="15.75" customHeight="1" x14ac:dyDescent="0.35"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04"/>
      <c r="V81" s="204"/>
      <c r="W81" s="204"/>
      <c r="X81" s="204"/>
      <c r="Y81" s="204"/>
      <c r="Z81" s="204"/>
    </row>
    <row r="82" spans="6:26" ht="15.75" customHeight="1" x14ac:dyDescent="0.35"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04"/>
      <c r="V82" s="204"/>
      <c r="W82" s="204"/>
      <c r="X82" s="204"/>
      <c r="Y82" s="204"/>
      <c r="Z82" s="204"/>
    </row>
    <row r="83" spans="6:26" ht="15.75" customHeight="1" x14ac:dyDescent="0.35"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04"/>
      <c r="V83" s="204"/>
      <c r="W83" s="204"/>
      <c r="X83" s="204"/>
      <c r="Y83" s="204"/>
      <c r="Z83" s="204"/>
    </row>
    <row r="84" spans="6:26" ht="15.75" customHeight="1" x14ac:dyDescent="0.35"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04"/>
      <c r="V84" s="204"/>
      <c r="W84" s="204"/>
      <c r="X84" s="204"/>
      <c r="Y84" s="204"/>
      <c r="Z84" s="204"/>
    </row>
    <row r="85" spans="6:26" ht="15.75" customHeight="1" x14ac:dyDescent="0.35"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04"/>
      <c r="V85" s="204"/>
      <c r="W85" s="204"/>
      <c r="X85" s="204"/>
      <c r="Y85" s="204"/>
      <c r="Z85" s="204"/>
    </row>
    <row r="86" spans="6:26" ht="15.75" customHeight="1" x14ac:dyDescent="0.35"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04"/>
      <c r="V86" s="204"/>
      <c r="W86" s="204"/>
      <c r="X86" s="204"/>
      <c r="Y86" s="204"/>
      <c r="Z86" s="204"/>
    </row>
    <row r="87" spans="6:26" ht="15.75" customHeight="1" x14ac:dyDescent="0.35"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04"/>
      <c r="V87" s="204"/>
      <c r="W87" s="204"/>
      <c r="X87" s="204"/>
      <c r="Y87" s="204"/>
      <c r="Z87" s="204"/>
    </row>
    <row r="88" spans="6:26" ht="15.75" customHeight="1" x14ac:dyDescent="0.35"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04"/>
      <c r="V88" s="204"/>
      <c r="W88" s="204"/>
      <c r="X88" s="204"/>
      <c r="Y88" s="204"/>
      <c r="Z88" s="204"/>
    </row>
    <row r="89" spans="6:26" ht="15.75" customHeight="1" x14ac:dyDescent="0.35"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04"/>
      <c r="V89" s="204"/>
      <c r="W89" s="204"/>
      <c r="X89" s="204"/>
      <c r="Y89" s="204"/>
      <c r="Z89" s="204"/>
    </row>
    <row r="90" spans="6:26" ht="15.75" customHeight="1" x14ac:dyDescent="0.35"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04"/>
      <c r="V90" s="204"/>
      <c r="W90" s="204"/>
      <c r="X90" s="204"/>
      <c r="Y90" s="204"/>
      <c r="Z90" s="204"/>
    </row>
    <row r="91" spans="6:26" ht="15.75" customHeight="1" x14ac:dyDescent="0.35"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04"/>
      <c r="V91" s="204"/>
      <c r="W91" s="204"/>
      <c r="X91" s="204"/>
      <c r="Y91" s="204"/>
      <c r="Z91" s="204"/>
    </row>
    <row r="92" spans="6:26" ht="15.75" customHeight="1" x14ac:dyDescent="0.35"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04"/>
      <c r="V92" s="204"/>
      <c r="W92" s="204"/>
      <c r="X92" s="204"/>
      <c r="Y92" s="204"/>
      <c r="Z92" s="204"/>
    </row>
    <row r="93" spans="6:26" ht="15.75" customHeight="1" x14ac:dyDescent="0.35"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04"/>
      <c r="V93" s="204"/>
      <c r="W93" s="204"/>
      <c r="X93" s="204"/>
      <c r="Y93" s="204"/>
      <c r="Z93" s="204"/>
    </row>
    <row r="94" spans="6:26" ht="15.75" customHeight="1" x14ac:dyDescent="0.35"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04"/>
      <c r="V94" s="204"/>
      <c r="W94" s="204"/>
      <c r="X94" s="204"/>
      <c r="Y94" s="204"/>
      <c r="Z94" s="204"/>
    </row>
    <row r="95" spans="6:26" ht="15.75" customHeight="1" x14ac:dyDescent="0.35"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04"/>
      <c r="V95" s="204"/>
      <c r="W95" s="204"/>
      <c r="X95" s="204"/>
      <c r="Y95" s="204"/>
      <c r="Z95" s="204"/>
    </row>
    <row r="96" spans="6:26" ht="15.75" customHeight="1" x14ac:dyDescent="0.35"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04"/>
      <c r="V96" s="204"/>
      <c r="W96" s="204"/>
      <c r="X96" s="204"/>
      <c r="Y96" s="204"/>
      <c r="Z96" s="204"/>
    </row>
    <row r="97" spans="6:26" ht="15.75" customHeight="1" x14ac:dyDescent="0.35"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04"/>
      <c r="V97" s="204"/>
      <c r="W97" s="204"/>
      <c r="X97" s="204"/>
      <c r="Y97" s="204"/>
      <c r="Z97" s="204"/>
    </row>
    <row r="98" spans="6:26" ht="15.75" customHeight="1" x14ac:dyDescent="0.35"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04"/>
      <c r="V98" s="204"/>
      <c r="W98" s="204"/>
      <c r="X98" s="204"/>
      <c r="Y98" s="204"/>
      <c r="Z98" s="204"/>
    </row>
    <row r="99" spans="6:26" ht="15.75" customHeight="1" x14ac:dyDescent="0.35"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04"/>
      <c r="V99" s="204"/>
      <c r="W99" s="204"/>
      <c r="X99" s="204"/>
      <c r="Y99" s="204"/>
      <c r="Z99" s="204"/>
    </row>
    <row r="100" spans="6:26" ht="15.75" customHeight="1" x14ac:dyDescent="0.35"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04"/>
      <c r="V100" s="204"/>
      <c r="W100" s="204"/>
      <c r="X100" s="204"/>
      <c r="Y100" s="204"/>
      <c r="Z100" s="204"/>
    </row>
    <row r="101" spans="6:26" ht="15.75" customHeight="1" x14ac:dyDescent="0.35"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04"/>
      <c r="V101" s="204"/>
      <c r="W101" s="204"/>
      <c r="X101" s="204"/>
      <c r="Y101" s="204"/>
      <c r="Z101" s="204"/>
    </row>
    <row r="102" spans="6:26" ht="15.75" customHeight="1" x14ac:dyDescent="0.35"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04"/>
      <c r="V102" s="204"/>
      <c r="W102" s="204"/>
      <c r="X102" s="204"/>
      <c r="Y102" s="204"/>
      <c r="Z102" s="204"/>
    </row>
    <row r="103" spans="6:26" ht="15.75" customHeight="1" x14ac:dyDescent="0.35"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04"/>
      <c r="V103" s="204"/>
      <c r="W103" s="204"/>
      <c r="X103" s="204"/>
      <c r="Y103" s="204"/>
      <c r="Z103" s="204"/>
    </row>
    <row r="104" spans="6:26" ht="15.75" customHeight="1" x14ac:dyDescent="0.35"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04"/>
      <c r="V104" s="204"/>
      <c r="W104" s="204"/>
      <c r="X104" s="204"/>
      <c r="Y104" s="204"/>
      <c r="Z104" s="204"/>
    </row>
    <row r="105" spans="6:26" ht="15.75" customHeight="1" x14ac:dyDescent="0.35"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04"/>
      <c r="V105" s="204"/>
      <c r="W105" s="204"/>
      <c r="X105" s="204"/>
      <c r="Y105" s="204"/>
      <c r="Z105" s="204"/>
    </row>
    <row r="106" spans="6:26" ht="15.75" customHeight="1" x14ac:dyDescent="0.35"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04"/>
      <c r="V106" s="204"/>
      <c r="W106" s="204"/>
      <c r="X106" s="204"/>
      <c r="Y106" s="204"/>
      <c r="Z106" s="204"/>
    </row>
    <row r="107" spans="6:26" ht="15.75" customHeight="1" x14ac:dyDescent="0.35"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04"/>
      <c r="V107" s="204"/>
      <c r="W107" s="204"/>
      <c r="X107" s="204"/>
      <c r="Y107" s="204"/>
      <c r="Z107" s="204"/>
    </row>
    <row r="108" spans="6:26" ht="15.75" customHeight="1" x14ac:dyDescent="0.35"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04"/>
      <c r="V108" s="204"/>
      <c r="W108" s="204"/>
      <c r="X108" s="204"/>
      <c r="Y108" s="204"/>
      <c r="Z108" s="204"/>
    </row>
    <row r="109" spans="6:26" ht="15.75" customHeight="1" x14ac:dyDescent="0.35"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04"/>
      <c r="V109" s="204"/>
      <c r="W109" s="204"/>
      <c r="X109" s="204"/>
      <c r="Y109" s="204"/>
      <c r="Z109" s="204"/>
    </row>
    <row r="110" spans="6:26" ht="15.75" customHeight="1" x14ac:dyDescent="0.35"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04"/>
      <c r="V110" s="204"/>
      <c r="W110" s="204"/>
      <c r="X110" s="204"/>
      <c r="Y110" s="204"/>
      <c r="Z110" s="204"/>
    </row>
    <row r="111" spans="6:26" ht="15.75" customHeight="1" x14ac:dyDescent="0.35"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04"/>
      <c r="V111" s="204"/>
      <c r="W111" s="204"/>
      <c r="X111" s="204"/>
      <c r="Y111" s="204"/>
      <c r="Z111" s="204"/>
    </row>
    <row r="112" spans="6:26" ht="15.75" customHeight="1" x14ac:dyDescent="0.35"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04"/>
      <c r="V112" s="204"/>
      <c r="W112" s="204"/>
      <c r="X112" s="204"/>
      <c r="Y112" s="204"/>
      <c r="Z112" s="204"/>
    </row>
    <row r="113" spans="6:26" ht="15.75" customHeight="1" x14ac:dyDescent="0.35"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04"/>
      <c r="V113" s="204"/>
      <c r="W113" s="204"/>
      <c r="X113" s="204"/>
      <c r="Y113" s="204"/>
      <c r="Z113" s="204"/>
    </row>
    <row r="114" spans="6:26" ht="15.75" customHeight="1" x14ac:dyDescent="0.35"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04"/>
      <c r="V114" s="204"/>
      <c r="W114" s="204"/>
      <c r="X114" s="204"/>
      <c r="Y114" s="204"/>
      <c r="Z114" s="204"/>
    </row>
    <row r="115" spans="6:26" ht="15.75" customHeight="1" x14ac:dyDescent="0.35"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04"/>
      <c r="V115" s="204"/>
      <c r="W115" s="204"/>
      <c r="X115" s="204"/>
      <c r="Y115" s="204"/>
      <c r="Z115" s="204"/>
    </row>
    <row r="116" spans="6:26" ht="15.75" customHeight="1" x14ac:dyDescent="0.35"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04"/>
      <c r="V116" s="204"/>
      <c r="W116" s="204"/>
      <c r="X116" s="204"/>
      <c r="Y116" s="204"/>
      <c r="Z116" s="204"/>
    </row>
    <row r="117" spans="6:26" ht="15.75" customHeight="1" x14ac:dyDescent="0.35"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04"/>
      <c r="V117" s="204"/>
      <c r="W117" s="204"/>
      <c r="X117" s="204"/>
      <c r="Y117" s="204"/>
      <c r="Z117" s="204"/>
    </row>
    <row r="118" spans="6:26" ht="15.75" customHeight="1" x14ac:dyDescent="0.35"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04"/>
      <c r="V118" s="204"/>
      <c r="W118" s="204"/>
      <c r="X118" s="204"/>
      <c r="Y118" s="204"/>
      <c r="Z118" s="204"/>
    </row>
    <row r="119" spans="6:26" ht="15.75" customHeight="1" x14ac:dyDescent="0.35"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04"/>
      <c r="V119" s="204"/>
      <c r="W119" s="204"/>
      <c r="X119" s="204"/>
      <c r="Y119" s="204"/>
      <c r="Z119" s="204"/>
    </row>
    <row r="120" spans="6:26" ht="15.75" customHeight="1" x14ac:dyDescent="0.35"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04"/>
      <c r="V120" s="204"/>
      <c r="W120" s="204"/>
      <c r="X120" s="204"/>
      <c r="Y120" s="204"/>
      <c r="Z120" s="204"/>
    </row>
    <row r="121" spans="6:26" ht="15.75" customHeight="1" x14ac:dyDescent="0.35"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04"/>
      <c r="V121" s="204"/>
      <c r="W121" s="204"/>
      <c r="X121" s="204"/>
      <c r="Y121" s="204"/>
      <c r="Z121" s="204"/>
    </row>
    <row r="122" spans="6:26" ht="15.75" customHeight="1" x14ac:dyDescent="0.35"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04"/>
      <c r="V122" s="204"/>
      <c r="W122" s="204"/>
      <c r="X122" s="204"/>
      <c r="Y122" s="204"/>
      <c r="Z122" s="204"/>
    </row>
    <row r="123" spans="6:26" ht="15.75" customHeight="1" x14ac:dyDescent="0.35"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04"/>
      <c r="V123" s="204"/>
      <c r="W123" s="204"/>
      <c r="X123" s="204"/>
      <c r="Y123" s="204"/>
      <c r="Z123" s="204"/>
    </row>
    <row r="124" spans="6:26" ht="15.75" customHeight="1" x14ac:dyDescent="0.35"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04"/>
      <c r="V124" s="204"/>
      <c r="W124" s="204"/>
      <c r="X124" s="204"/>
      <c r="Y124" s="204"/>
      <c r="Z124" s="204"/>
    </row>
    <row r="125" spans="6:26" ht="15.75" customHeight="1" x14ac:dyDescent="0.35"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04"/>
      <c r="V125" s="204"/>
      <c r="W125" s="204"/>
      <c r="X125" s="204"/>
      <c r="Y125" s="204"/>
      <c r="Z125" s="204"/>
    </row>
    <row r="126" spans="6:26" ht="15.75" customHeight="1" x14ac:dyDescent="0.35"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04"/>
      <c r="V126" s="204"/>
      <c r="W126" s="204"/>
      <c r="X126" s="204"/>
      <c r="Y126" s="204"/>
      <c r="Z126" s="204"/>
    </row>
    <row r="127" spans="6:26" ht="15.75" customHeight="1" x14ac:dyDescent="0.35"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04"/>
      <c r="V127" s="204"/>
      <c r="W127" s="204"/>
      <c r="X127" s="204"/>
      <c r="Y127" s="204"/>
      <c r="Z127" s="204"/>
    </row>
    <row r="128" spans="6:26" ht="15.75" customHeight="1" x14ac:dyDescent="0.35"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04"/>
      <c r="V128" s="204"/>
      <c r="W128" s="204"/>
      <c r="X128" s="204"/>
      <c r="Y128" s="204"/>
      <c r="Z128" s="204"/>
    </row>
    <row r="129" spans="6:26" ht="15.75" customHeight="1" x14ac:dyDescent="0.35"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04"/>
      <c r="V129" s="204"/>
      <c r="W129" s="204"/>
      <c r="X129" s="204"/>
      <c r="Y129" s="204"/>
      <c r="Z129" s="204"/>
    </row>
    <row r="130" spans="6:26" ht="15.75" customHeight="1" x14ac:dyDescent="0.35"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04"/>
      <c r="V130" s="204"/>
      <c r="W130" s="204"/>
      <c r="X130" s="204"/>
      <c r="Y130" s="204"/>
      <c r="Z130" s="204"/>
    </row>
    <row r="131" spans="6:26" ht="15.75" customHeight="1" x14ac:dyDescent="0.35"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04"/>
      <c r="V131" s="204"/>
      <c r="W131" s="204"/>
      <c r="X131" s="204"/>
      <c r="Y131" s="204"/>
      <c r="Z131" s="204"/>
    </row>
    <row r="132" spans="6:26" ht="15.75" customHeight="1" x14ac:dyDescent="0.35"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04"/>
      <c r="V132" s="204"/>
      <c r="W132" s="204"/>
      <c r="X132" s="204"/>
      <c r="Y132" s="204"/>
      <c r="Z132" s="204"/>
    </row>
    <row r="133" spans="6:26" ht="15.75" customHeight="1" x14ac:dyDescent="0.35"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04"/>
      <c r="V133" s="204"/>
      <c r="W133" s="204"/>
      <c r="X133" s="204"/>
      <c r="Y133" s="204"/>
      <c r="Z133" s="204"/>
    </row>
    <row r="134" spans="6:26" ht="15.75" customHeight="1" x14ac:dyDescent="0.35"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04"/>
      <c r="V134" s="204"/>
      <c r="W134" s="204"/>
      <c r="X134" s="204"/>
      <c r="Y134" s="204"/>
      <c r="Z134" s="204"/>
    </row>
    <row r="135" spans="6:26" ht="15.75" customHeight="1" x14ac:dyDescent="0.35"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04"/>
      <c r="V135" s="204"/>
      <c r="W135" s="204"/>
      <c r="X135" s="204"/>
      <c r="Y135" s="204"/>
      <c r="Z135" s="204"/>
    </row>
    <row r="136" spans="6:26" ht="15.75" customHeight="1" x14ac:dyDescent="0.35"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04"/>
      <c r="V136" s="204"/>
      <c r="W136" s="204"/>
      <c r="X136" s="204"/>
      <c r="Y136" s="204"/>
      <c r="Z136" s="204"/>
    </row>
    <row r="137" spans="6:26" ht="15.75" customHeight="1" x14ac:dyDescent="0.35"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04"/>
      <c r="V137" s="204"/>
      <c r="W137" s="204"/>
      <c r="X137" s="204"/>
      <c r="Y137" s="204"/>
      <c r="Z137" s="204"/>
    </row>
    <row r="138" spans="6:26" ht="15.75" customHeight="1" x14ac:dyDescent="0.35"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04"/>
      <c r="V138" s="204"/>
      <c r="W138" s="204"/>
      <c r="X138" s="204"/>
      <c r="Y138" s="204"/>
      <c r="Z138" s="204"/>
    </row>
    <row r="139" spans="6:26" ht="15.75" customHeight="1" x14ac:dyDescent="0.35"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04"/>
      <c r="V139" s="204"/>
      <c r="W139" s="204"/>
      <c r="X139" s="204"/>
      <c r="Y139" s="204"/>
      <c r="Z139" s="204"/>
    </row>
    <row r="140" spans="6:26" ht="15.75" customHeight="1" x14ac:dyDescent="0.35"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04"/>
      <c r="V140" s="204"/>
      <c r="W140" s="204"/>
      <c r="X140" s="204"/>
      <c r="Y140" s="204"/>
      <c r="Z140" s="204"/>
    </row>
    <row r="141" spans="6:26" ht="15.75" customHeight="1" x14ac:dyDescent="0.35"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04"/>
      <c r="V141" s="204"/>
      <c r="W141" s="204"/>
      <c r="X141" s="204"/>
      <c r="Y141" s="204"/>
      <c r="Z141" s="204"/>
    </row>
    <row r="142" spans="6:26" ht="15.75" customHeight="1" x14ac:dyDescent="0.35"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04"/>
      <c r="V142" s="204"/>
      <c r="W142" s="204"/>
      <c r="X142" s="204"/>
      <c r="Y142" s="204"/>
      <c r="Z142" s="204"/>
    </row>
    <row r="143" spans="6:26" ht="15.75" customHeight="1" x14ac:dyDescent="0.35"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04"/>
      <c r="V143" s="204"/>
      <c r="W143" s="204"/>
      <c r="X143" s="204"/>
      <c r="Y143" s="204"/>
      <c r="Z143" s="204"/>
    </row>
    <row r="144" spans="6:26" ht="15.75" customHeight="1" x14ac:dyDescent="0.35"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04"/>
      <c r="V144" s="204"/>
      <c r="W144" s="204"/>
      <c r="X144" s="204"/>
      <c r="Y144" s="204"/>
      <c r="Z144" s="204"/>
    </row>
    <row r="145" spans="6:26" ht="15.75" customHeight="1" x14ac:dyDescent="0.35"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04"/>
      <c r="V145" s="204"/>
      <c r="W145" s="204"/>
      <c r="X145" s="204"/>
      <c r="Y145" s="204"/>
      <c r="Z145" s="204"/>
    </row>
    <row r="146" spans="6:26" ht="15.75" customHeight="1" x14ac:dyDescent="0.35"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04"/>
      <c r="V146" s="204"/>
      <c r="W146" s="204"/>
      <c r="X146" s="204"/>
      <c r="Y146" s="204"/>
      <c r="Z146" s="204"/>
    </row>
    <row r="147" spans="6:26" ht="15.75" customHeight="1" x14ac:dyDescent="0.35"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04"/>
      <c r="V147" s="204"/>
      <c r="W147" s="204"/>
      <c r="X147" s="204"/>
      <c r="Y147" s="204"/>
      <c r="Z147" s="204"/>
    </row>
    <row r="148" spans="6:26" ht="15.75" customHeight="1" x14ac:dyDescent="0.35"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04"/>
      <c r="V148" s="204"/>
      <c r="W148" s="204"/>
      <c r="X148" s="204"/>
      <c r="Y148" s="204"/>
      <c r="Z148" s="204"/>
    </row>
    <row r="149" spans="6:26" ht="15.75" customHeight="1" x14ac:dyDescent="0.35"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04"/>
      <c r="V149" s="204"/>
      <c r="W149" s="204"/>
      <c r="X149" s="204"/>
      <c r="Y149" s="204"/>
      <c r="Z149" s="204"/>
    </row>
    <row r="150" spans="6:26" ht="15.75" customHeight="1" x14ac:dyDescent="0.35"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04"/>
      <c r="V150" s="204"/>
      <c r="W150" s="204"/>
      <c r="X150" s="204"/>
      <c r="Y150" s="204"/>
      <c r="Z150" s="204"/>
    </row>
    <row r="151" spans="6:26" ht="15.75" customHeight="1" x14ac:dyDescent="0.35"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04"/>
      <c r="V151" s="204"/>
      <c r="W151" s="204"/>
      <c r="X151" s="204"/>
      <c r="Y151" s="204"/>
      <c r="Z151" s="204"/>
    </row>
    <row r="152" spans="6:26" ht="15.75" customHeight="1" x14ac:dyDescent="0.35"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04"/>
      <c r="V152" s="204"/>
      <c r="W152" s="204"/>
      <c r="X152" s="204"/>
      <c r="Y152" s="204"/>
      <c r="Z152" s="204"/>
    </row>
    <row r="153" spans="6:26" ht="15.75" customHeight="1" x14ac:dyDescent="0.35"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04"/>
      <c r="V153" s="204"/>
      <c r="W153" s="204"/>
      <c r="X153" s="204"/>
      <c r="Y153" s="204"/>
      <c r="Z153" s="204"/>
    </row>
    <row r="154" spans="6:26" ht="15.75" customHeight="1" x14ac:dyDescent="0.35"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04"/>
      <c r="V154" s="204"/>
      <c r="W154" s="204"/>
      <c r="X154" s="204"/>
      <c r="Y154" s="204"/>
      <c r="Z154" s="204"/>
    </row>
    <row r="155" spans="6:26" ht="15.75" customHeight="1" x14ac:dyDescent="0.35"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04"/>
      <c r="V155" s="204"/>
      <c r="W155" s="204"/>
      <c r="X155" s="204"/>
      <c r="Y155" s="204"/>
      <c r="Z155" s="204"/>
    </row>
    <row r="156" spans="6:26" ht="15.75" customHeight="1" x14ac:dyDescent="0.35"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04"/>
      <c r="V156" s="204"/>
      <c r="W156" s="204"/>
      <c r="X156" s="204"/>
      <c r="Y156" s="204"/>
      <c r="Z156" s="204"/>
    </row>
    <row r="157" spans="6:26" ht="15.75" customHeight="1" x14ac:dyDescent="0.35"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04"/>
      <c r="V157" s="204"/>
      <c r="W157" s="204"/>
      <c r="X157" s="204"/>
      <c r="Y157" s="204"/>
      <c r="Z157" s="204"/>
    </row>
    <row r="158" spans="6:26" ht="15.75" customHeight="1" x14ac:dyDescent="0.35"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04"/>
      <c r="V158" s="204"/>
      <c r="W158" s="204"/>
      <c r="X158" s="204"/>
      <c r="Y158" s="204"/>
      <c r="Z158" s="204"/>
    </row>
    <row r="159" spans="6:26" ht="15.75" customHeight="1" x14ac:dyDescent="0.35"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04"/>
      <c r="V159" s="204"/>
      <c r="W159" s="204"/>
      <c r="X159" s="204"/>
      <c r="Y159" s="204"/>
      <c r="Z159" s="204"/>
    </row>
    <row r="160" spans="6:26" ht="15.75" customHeight="1" x14ac:dyDescent="0.35"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04"/>
      <c r="V160" s="204"/>
      <c r="W160" s="204"/>
      <c r="X160" s="204"/>
      <c r="Y160" s="204"/>
      <c r="Z160" s="204"/>
    </row>
    <row r="161" spans="6:26" ht="15.75" customHeight="1" x14ac:dyDescent="0.35"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04"/>
      <c r="V161" s="204"/>
      <c r="W161" s="204"/>
      <c r="X161" s="204"/>
      <c r="Y161" s="204"/>
      <c r="Z161" s="204"/>
    </row>
    <row r="162" spans="6:26" ht="15.75" customHeight="1" x14ac:dyDescent="0.35"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04"/>
      <c r="V162" s="204"/>
      <c r="W162" s="204"/>
      <c r="X162" s="204"/>
      <c r="Y162" s="204"/>
      <c r="Z162" s="204"/>
    </row>
    <row r="163" spans="6:26" ht="15.75" customHeight="1" x14ac:dyDescent="0.35"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04"/>
      <c r="V163" s="204"/>
      <c r="W163" s="204"/>
      <c r="X163" s="204"/>
      <c r="Y163" s="204"/>
      <c r="Z163" s="204"/>
    </row>
    <row r="164" spans="6:26" ht="15.75" customHeight="1" x14ac:dyDescent="0.35"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04"/>
      <c r="V164" s="204"/>
      <c r="W164" s="204"/>
      <c r="X164" s="204"/>
      <c r="Y164" s="204"/>
      <c r="Z164" s="204"/>
    </row>
    <row r="165" spans="6:26" ht="15.75" customHeight="1" x14ac:dyDescent="0.35"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04"/>
      <c r="V165" s="204"/>
      <c r="W165" s="204"/>
      <c r="X165" s="204"/>
      <c r="Y165" s="204"/>
      <c r="Z165" s="204"/>
    </row>
    <row r="166" spans="6:26" ht="15.75" customHeight="1" x14ac:dyDescent="0.35"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04"/>
      <c r="V166" s="204"/>
      <c r="W166" s="204"/>
      <c r="X166" s="204"/>
      <c r="Y166" s="204"/>
      <c r="Z166" s="204"/>
    </row>
    <row r="167" spans="6:26" ht="15.75" customHeight="1" x14ac:dyDescent="0.35"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04"/>
      <c r="V167" s="204"/>
      <c r="W167" s="204"/>
      <c r="X167" s="204"/>
      <c r="Y167" s="204"/>
      <c r="Z167" s="204"/>
    </row>
    <row r="168" spans="6:26" ht="15.75" customHeight="1" x14ac:dyDescent="0.35"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04"/>
      <c r="V168" s="204"/>
      <c r="W168" s="204"/>
      <c r="X168" s="204"/>
      <c r="Y168" s="204"/>
      <c r="Z168" s="204"/>
    </row>
    <row r="169" spans="6:26" ht="15.75" customHeight="1" x14ac:dyDescent="0.35"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04"/>
      <c r="V169" s="204"/>
      <c r="W169" s="204"/>
      <c r="X169" s="204"/>
      <c r="Y169" s="204"/>
      <c r="Z169" s="204"/>
    </row>
    <row r="170" spans="6:26" ht="15.75" customHeight="1" x14ac:dyDescent="0.35"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04"/>
      <c r="V170" s="204"/>
      <c r="W170" s="204"/>
      <c r="X170" s="204"/>
      <c r="Y170" s="204"/>
      <c r="Z170" s="204"/>
    </row>
    <row r="171" spans="6:26" ht="15.75" customHeight="1" x14ac:dyDescent="0.35"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04"/>
      <c r="V171" s="204"/>
      <c r="W171" s="204"/>
      <c r="X171" s="204"/>
      <c r="Y171" s="204"/>
      <c r="Z171" s="204"/>
    </row>
    <row r="172" spans="6:26" ht="15.75" customHeight="1" x14ac:dyDescent="0.35"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04"/>
      <c r="V172" s="204"/>
      <c r="W172" s="204"/>
      <c r="X172" s="204"/>
      <c r="Y172" s="204"/>
      <c r="Z172" s="204"/>
    </row>
    <row r="173" spans="6:26" ht="15.75" customHeight="1" x14ac:dyDescent="0.35"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04"/>
      <c r="V173" s="204"/>
      <c r="W173" s="204"/>
      <c r="X173" s="204"/>
      <c r="Y173" s="204"/>
      <c r="Z173" s="204"/>
    </row>
    <row r="174" spans="6:26" ht="15.75" customHeight="1" x14ac:dyDescent="0.35"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04"/>
      <c r="V174" s="204"/>
      <c r="W174" s="204"/>
      <c r="X174" s="204"/>
      <c r="Y174" s="204"/>
      <c r="Z174" s="204"/>
    </row>
    <row r="175" spans="6:26" ht="15.75" customHeight="1" x14ac:dyDescent="0.35"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04"/>
      <c r="V175" s="204"/>
      <c r="W175" s="204"/>
      <c r="X175" s="204"/>
      <c r="Y175" s="204"/>
      <c r="Z175" s="204"/>
    </row>
    <row r="176" spans="6:26" ht="15.75" customHeight="1" x14ac:dyDescent="0.35"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04"/>
      <c r="V176" s="204"/>
      <c r="W176" s="204"/>
      <c r="X176" s="204"/>
      <c r="Y176" s="204"/>
      <c r="Z176" s="204"/>
    </row>
    <row r="177" spans="6:26" ht="15.75" customHeight="1" x14ac:dyDescent="0.35"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04"/>
      <c r="V177" s="204"/>
      <c r="W177" s="204"/>
      <c r="X177" s="204"/>
      <c r="Y177" s="204"/>
      <c r="Z177" s="204"/>
    </row>
    <row r="178" spans="6:26" ht="15.75" customHeight="1" x14ac:dyDescent="0.35"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04"/>
      <c r="V178" s="204"/>
      <c r="W178" s="204"/>
      <c r="X178" s="204"/>
      <c r="Y178" s="204"/>
      <c r="Z178" s="204"/>
    </row>
    <row r="179" spans="6:26" ht="15.75" customHeight="1" x14ac:dyDescent="0.35"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04"/>
      <c r="V179" s="204"/>
      <c r="W179" s="204"/>
      <c r="X179" s="204"/>
      <c r="Y179" s="204"/>
      <c r="Z179" s="204"/>
    </row>
    <row r="180" spans="6:26" ht="15.75" customHeight="1" x14ac:dyDescent="0.35"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04"/>
      <c r="V180" s="204"/>
      <c r="W180" s="204"/>
      <c r="X180" s="204"/>
      <c r="Y180" s="204"/>
      <c r="Z180" s="204"/>
    </row>
    <row r="181" spans="6:26" ht="15.75" customHeight="1" x14ac:dyDescent="0.35"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04"/>
      <c r="V181" s="204"/>
      <c r="W181" s="204"/>
      <c r="X181" s="204"/>
      <c r="Y181" s="204"/>
      <c r="Z181" s="204"/>
    </row>
    <row r="182" spans="6:26" ht="15.75" customHeight="1" x14ac:dyDescent="0.35"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04"/>
      <c r="V182" s="204"/>
      <c r="W182" s="204"/>
      <c r="X182" s="204"/>
      <c r="Y182" s="204"/>
      <c r="Z182" s="204"/>
    </row>
    <row r="183" spans="6:26" ht="15.75" customHeight="1" x14ac:dyDescent="0.35"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04"/>
      <c r="V183" s="204"/>
      <c r="W183" s="204"/>
      <c r="X183" s="204"/>
      <c r="Y183" s="204"/>
      <c r="Z183" s="204"/>
    </row>
    <row r="184" spans="6:26" ht="15.75" customHeight="1" x14ac:dyDescent="0.35"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04"/>
      <c r="V184" s="204"/>
      <c r="W184" s="204"/>
      <c r="X184" s="204"/>
      <c r="Y184" s="204"/>
      <c r="Z184" s="204"/>
    </row>
    <row r="185" spans="6:26" ht="15.75" customHeight="1" x14ac:dyDescent="0.35"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04"/>
      <c r="V185" s="204"/>
      <c r="W185" s="204"/>
      <c r="X185" s="204"/>
      <c r="Y185" s="204"/>
      <c r="Z185" s="204"/>
    </row>
    <row r="186" spans="6:26" ht="15.75" customHeight="1" x14ac:dyDescent="0.35"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04"/>
      <c r="V186" s="204"/>
      <c r="W186" s="204"/>
      <c r="X186" s="204"/>
      <c r="Y186" s="204"/>
      <c r="Z186" s="204"/>
    </row>
    <row r="187" spans="6:26" ht="15.75" customHeight="1" x14ac:dyDescent="0.35"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04"/>
      <c r="V187" s="204"/>
      <c r="W187" s="204"/>
      <c r="X187" s="204"/>
      <c r="Y187" s="204"/>
      <c r="Z187" s="204"/>
    </row>
    <row r="188" spans="6:26" ht="15.75" customHeight="1" x14ac:dyDescent="0.35"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04"/>
      <c r="V188" s="204"/>
      <c r="W188" s="204"/>
      <c r="X188" s="204"/>
      <c r="Y188" s="204"/>
      <c r="Z188" s="204"/>
    </row>
    <row r="189" spans="6:26" ht="15.75" customHeight="1" x14ac:dyDescent="0.35"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04"/>
      <c r="V189" s="204"/>
      <c r="W189" s="204"/>
      <c r="X189" s="204"/>
      <c r="Y189" s="204"/>
      <c r="Z189" s="204"/>
    </row>
    <row r="190" spans="6:26" ht="15.75" customHeight="1" x14ac:dyDescent="0.35"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04"/>
      <c r="V190" s="204"/>
      <c r="W190" s="204"/>
      <c r="X190" s="204"/>
      <c r="Y190" s="204"/>
      <c r="Z190" s="204"/>
    </row>
    <row r="191" spans="6:26" ht="15.75" customHeight="1" x14ac:dyDescent="0.35"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04"/>
      <c r="V191" s="204"/>
      <c r="W191" s="204"/>
      <c r="X191" s="204"/>
      <c r="Y191" s="204"/>
      <c r="Z191" s="204"/>
    </row>
    <row r="192" spans="6:26" ht="15.75" customHeight="1" x14ac:dyDescent="0.35"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04"/>
      <c r="V192" s="204"/>
      <c r="W192" s="204"/>
      <c r="X192" s="204"/>
      <c r="Y192" s="204"/>
      <c r="Z192" s="204"/>
    </row>
    <row r="193" spans="6:26" ht="15.75" customHeight="1" x14ac:dyDescent="0.35"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04"/>
      <c r="V193" s="204"/>
      <c r="W193" s="204"/>
      <c r="X193" s="204"/>
      <c r="Y193" s="204"/>
      <c r="Z193" s="204"/>
    </row>
    <row r="194" spans="6:26" ht="15.75" customHeight="1" x14ac:dyDescent="0.35"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04"/>
      <c r="V194" s="204"/>
      <c r="W194" s="204"/>
      <c r="X194" s="204"/>
      <c r="Y194" s="204"/>
      <c r="Z194" s="204"/>
    </row>
    <row r="195" spans="6:26" ht="15.75" customHeight="1" x14ac:dyDescent="0.35"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04"/>
      <c r="V195" s="204"/>
      <c r="W195" s="204"/>
      <c r="X195" s="204"/>
      <c r="Y195" s="204"/>
      <c r="Z195" s="204"/>
    </row>
    <row r="196" spans="6:26" ht="15.75" customHeight="1" x14ac:dyDescent="0.35"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04"/>
      <c r="V196" s="204"/>
      <c r="W196" s="204"/>
      <c r="X196" s="204"/>
      <c r="Y196" s="204"/>
      <c r="Z196" s="204"/>
    </row>
    <row r="197" spans="6:26" ht="15.75" customHeight="1" x14ac:dyDescent="0.35"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04"/>
      <c r="V197" s="204"/>
      <c r="W197" s="204"/>
      <c r="X197" s="204"/>
      <c r="Y197" s="204"/>
      <c r="Z197" s="204"/>
    </row>
    <row r="198" spans="6:26" ht="15.75" customHeight="1" x14ac:dyDescent="0.35"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04"/>
      <c r="V198" s="204"/>
      <c r="W198" s="204"/>
      <c r="X198" s="204"/>
      <c r="Y198" s="204"/>
      <c r="Z198" s="204"/>
    </row>
    <row r="199" spans="6:26" ht="15.75" customHeight="1" x14ac:dyDescent="0.35"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04"/>
      <c r="V199" s="204"/>
      <c r="W199" s="204"/>
      <c r="X199" s="204"/>
      <c r="Y199" s="204"/>
      <c r="Z199" s="204"/>
    </row>
    <row r="200" spans="6:26" ht="15.75" customHeight="1" x14ac:dyDescent="0.35"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04"/>
      <c r="V200" s="204"/>
      <c r="W200" s="204"/>
      <c r="X200" s="204"/>
      <c r="Y200" s="204"/>
      <c r="Z200" s="204"/>
    </row>
    <row r="201" spans="6:26" ht="15.75" customHeight="1" x14ac:dyDescent="0.35"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04"/>
      <c r="V201" s="204"/>
      <c r="W201" s="204"/>
      <c r="X201" s="204"/>
      <c r="Y201" s="204"/>
      <c r="Z201" s="204"/>
    </row>
    <row r="202" spans="6:26" ht="15.75" customHeight="1" x14ac:dyDescent="0.35"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04"/>
      <c r="V202" s="204"/>
      <c r="W202" s="204"/>
      <c r="X202" s="204"/>
      <c r="Y202" s="204"/>
      <c r="Z202" s="204"/>
    </row>
    <row r="203" spans="6:26" ht="15.75" customHeight="1" x14ac:dyDescent="0.35"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04"/>
      <c r="V203" s="204"/>
      <c r="W203" s="204"/>
      <c r="X203" s="204"/>
      <c r="Y203" s="204"/>
      <c r="Z203" s="204"/>
    </row>
    <row r="204" spans="6:26" ht="15.75" customHeight="1" x14ac:dyDescent="0.35"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04"/>
      <c r="V204" s="204"/>
      <c r="W204" s="204"/>
      <c r="X204" s="204"/>
      <c r="Y204" s="204"/>
      <c r="Z204" s="204"/>
    </row>
    <row r="205" spans="6:26" ht="15.75" customHeight="1" x14ac:dyDescent="0.35"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04"/>
      <c r="V205" s="204"/>
      <c r="W205" s="204"/>
      <c r="X205" s="204"/>
      <c r="Y205" s="204"/>
      <c r="Z205" s="204"/>
    </row>
    <row r="206" spans="6:26" ht="15.75" customHeight="1" x14ac:dyDescent="0.35"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04"/>
      <c r="V206" s="204"/>
      <c r="W206" s="204"/>
      <c r="X206" s="204"/>
      <c r="Y206" s="204"/>
      <c r="Z206" s="204"/>
    </row>
    <row r="207" spans="6:26" ht="15.75" customHeight="1" x14ac:dyDescent="0.35"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04"/>
      <c r="V207" s="204"/>
      <c r="W207" s="204"/>
      <c r="X207" s="204"/>
      <c r="Y207" s="204"/>
      <c r="Z207" s="204"/>
    </row>
    <row r="208" spans="6:26" ht="15.75" customHeight="1" x14ac:dyDescent="0.35"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04"/>
      <c r="V208" s="204"/>
      <c r="W208" s="204"/>
      <c r="X208" s="204"/>
      <c r="Y208" s="204"/>
      <c r="Z208" s="204"/>
    </row>
    <row r="209" spans="6:26" ht="15.75" customHeight="1" x14ac:dyDescent="0.35"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04"/>
      <c r="V209" s="204"/>
      <c r="W209" s="204"/>
      <c r="X209" s="204"/>
      <c r="Y209" s="204"/>
      <c r="Z209" s="204"/>
    </row>
    <row r="210" spans="6:26" ht="15.75" customHeight="1" x14ac:dyDescent="0.35"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04"/>
      <c r="V210" s="204"/>
      <c r="W210" s="204"/>
      <c r="X210" s="204"/>
      <c r="Y210" s="204"/>
      <c r="Z210" s="204"/>
    </row>
    <row r="211" spans="6:26" ht="15.75" customHeight="1" x14ac:dyDescent="0.35"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04"/>
      <c r="V211" s="204"/>
      <c r="W211" s="204"/>
      <c r="X211" s="204"/>
      <c r="Y211" s="204"/>
      <c r="Z211" s="204"/>
    </row>
    <row r="212" spans="6:26" ht="15.75" customHeight="1" x14ac:dyDescent="0.35"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04"/>
      <c r="V212" s="204"/>
      <c r="W212" s="204"/>
      <c r="X212" s="204"/>
      <c r="Y212" s="204"/>
      <c r="Z212" s="204"/>
    </row>
    <row r="213" spans="6:26" ht="15.75" customHeight="1" x14ac:dyDescent="0.35"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04"/>
      <c r="V213" s="204"/>
      <c r="W213" s="204"/>
      <c r="X213" s="204"/>
      <c r="Y213" s="204"/>
      <c r="Z213" s="204"/>
    </row>
    <row r="214" spans="6:26" ht="15.75" customHeight="1" x14ac:dyDescent="0.35"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04"/>
      <c r="V214" s="204"/>
      <c r="W214" s="204"/>
      <c r="X214" s="204"/>
      <c r="Y214" s="204"/>
      <c r="Z214" s="204"/>
    </row>
    <row r="215" spans="6:26" ht="15.75" customHeight="1" x14ac:dyDescent="0.35"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04"/>
      <c r="V215" s="204"/>
      <c r="W215" s="204"/>
      <c r="X215" s="204"/>
      <c r="Y215" s="204"/>
      <c r="Z215" s="204"/>
    </row>
    <row r="216" spans="6:26" ht="15.75" customHeight="1" x14ac:dyDescent="0.35"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04"/>
      <c r="V216" s="204"/>
      <c r="W216" s="204"/>
      <c r="X216" s="204"/>
      <c r="Y216" s="204"/>
      <c r="Z216" s="204"/>
    </row>
    <row r="217" spans="6:26" ht="15.75" customHeight="1" x14ac:dyDescent="0.35"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04"/>
      <c r="V217" s="204"/>
      <c r="W217" s="204"/>
      <c r="X217" s="204"/>
      <c r="Y217" s="204"/>
      <c r="Z217" s="204"/>
    </row>
    <row r="218" spans="6:26" ht="15.75" customHeight="1" x14ac:dyDescent="0.35"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04"/>
      <c r="V218" s="204"/>
      <c r="W218" s="204"/>
      <c r="X218" s="204"/>
      <c r="Y218" s="204"/>
      <c r="Z218" s="204"/>
    </row>
    <row r="219" spans="6:26" ht="15.75" customHeight="1" x14ac:dyDescent="0.35"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04"/>
      <c r="V219" s="204"/>
      <c r="W219" s="204"/>
      <c r="X219" s="204"/>
      <c r="Y219" s="204"/>
      <c r="Z219" s="204"/>
    </row>
    <row r="220" spans="6:26" ht="15.75" customHeight="1" x14ac:dyDescent="0.35"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04"/>
      <c r="V220" s="204"/>
      <c r="W220" s="204"/>
      <c r="X220" s="204"/>
      <c r="Y220" s="204"/>
      <c r="Z220" s="204"/>
    </row>
    <row r="221" spans="6:26" ht="15.75" customHeight="1" x14ac:dyDescent="0.35"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04"/>
      <c r="V221" s="204"/>
      <c r="W221" s="204"/>
      <c r="X221" s="204"/>
      <c r="Y221" s="204"/>
      <c r="Z221" s="204"/>
    </row>
    <row r="222" spans="6:26" ht="15.75" customHeight="1" x14ac:dyDescent="0.35"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04"/>
      <c r="V222" s="204"/>
      <c r="W222" s="204"/>
      <c r="X222" s="204"/>
      <c r="Y222" s="204"/>
      <c r="Z222" s="204"/>
    </row>
    <row r="223" spans="6:26" ht="15.75" customHeight="1" x14ac:dyDescent="0.35"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04"/>
      <c r="V223" s="204"/>
      <c r="W223" s="204"/>
      <c r="X223" s="204"/>
      <c r="Y223" s="204"/>
      <c r="Z223" s="204"/>
    </row>
    <row r="224" spans="6:26" ht="15.75" customHeight="1" x14ac:dyDescent="0.35"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04"/>
      <c r="V224" s="204"/>
      <c r="W224" s="204"/>
      <c r="X224" s="204"/>
      <c r="Y224" s="204"/>
      <c r="Z224" s="204"/>
    </row>
    <row r="225" spans="6:26" ht="15.75" customHeight="1" x14ac:dyDescent="0.35"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04"/>
      <c r="V225" s="204"/>
      <c r="W225" s="204"/>
      <c r="X225" s="204"/>
      <c r="Y225" s="204"/>
      <c r="Z225" s="204"/>
    </row>
    <row r="226" spans="6:26" ht="15.75" customHeight="1" x14ac:dyDescent="0.35"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04"/>
      <c r="V226" s="204"/>
      <c r="W226" s="204"/>
      <c r="X226" s="204"/>
      <c r="Y226" s="204"/>
      <c r="Z226" s="204"/>
    </row>
    <row r="227" spans="6:26" ht="15.75" customHeight="1" x14ac:dyDescent="0.35"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04"/>
      <c r="V227" s="204"/>
      <c r="W227" s="204"/>
      <c r="X227" s="204"/>
      <c r="Y227" s="204"/>
      <c r="Z227" s="204"/>
    </row>
    <row r="228" spans="6:26" ht="15.75" customHeight="1" x14ac:dyDescent="0.35"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04"/>
      <c r="V228" s="204"/>
      <c r="W228" s="204"/>
      <c r="X228" s="204"/>
      <c r="Y228" s="204"/>
      <c r="Z228" s="204"/>
    </row>
    <row r="229" spans="6:26" ht="15.75" customHeight="1" x14ac:dyDescent="0.35"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04"/>
      <c r="V229" s="204"/>
      <c r="W229" s="204"/>
      <c r="X229" s="204"/>
      <c r="Y229" s="204"/>
      <c r="Z229" s="204"/>
    </row>
    <row r="230" spans="6:26" ht="15.75" customHeight="1" x14ac:dyDescent="0.35"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04"/>
      <c r="V230" s="204"/>
      <c r="W230" s="204"/>
      <c r="X230" s="204"/>
      <c r="Y230" s="204"/>
      <c r="Z230" s="204"/>
    </row>
    <row r="231" spans="6:26" ht="15.75" customHeight="1" x14ac:dyDescent="0.35"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04"/>
      <c r="V231" s="204"/>
      <c r="W231" s="204"/>
      <c r="X231" s="204"/>
      <c r="Y231" s="204"/>
      <c r="Z231" s="204"/>
    </row>
    <row r="232" spans="6:26" ht="15.75" customHeight="1" x14ac:dyDescent="0.35"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04"/>
      <c r="V232" s="204"/>
      <c r="W232" s="204"/>
      <c r="X232" s="204"/>
      <c r="Y232" s="204"/>
      <c r="Z232" s="204"/>
    </row>
    <row r="233" spans="6:26" ht="15.75" customHeight="1" x14ac:dyDescent="0.35"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04"/>
      <c r="V233" s="204"/>
      <c r="W233" s="204"/>
      <c r="X233" s="204"/>
      <c r="Y233" s="204"/>
      <c r="Z233" s="204"/>
    </row>
    <row r="234" spans="6:26" ht="15.75" customHeight="1" x14ac:dyDescent="0.35"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04"/>
      <c r="V234" s="204"/>
      <c r="W234" s="204"/>
      <c r="X234" s="204"/>
      <c r="Y234" s="204"/>
      <c r="Z234" s="204"/>
    </row>
    <row r="235" spans="6:26" ht="15.75" customHeight="1" x14ac:dyDescent="0.35"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04"/>
      <c r="V235" s="204"/>
      <c r="W235" s="204"/>
      <c r="X235" s="204"/>
      <c r="Y235" s="204"/>
      <c r="Z235" s="204"/>
    </row>
    <row r="236" spans="6:26" ht="15.75" customHeight="1" x14ac:dyDescent="0.35"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04"/>
      <c r="V236" s="204"/>
      <c r="W236" s="204"/>
      <c r="X236" s="204"/>
      <c r="Y236" s="204"/>
      <c r="Z236" s="204"/>
    </row>
    <row r="237" spans="6:26" ht="15.75" customHeight="1" x14ac:dyDescent="0.35"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04"/>
      <c r="V237" s="204"/>
      <c r="W237" s="204"/>
      <c r="X237" s="204"/>
      <c r="Y237" s="204"/>
      <c r="Z237" s="204"/>
    </row>
    <row r="238" spans="6:26" ht="15.75" customHeight="1" x14ac:dyDescent="0.35"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04"/>
      <c r="V238" s="204"/>
      <c r="W238" s="204"/>
      <c r="X238" s="204"/>
      <c r="Y238" s="204"/>
      <c r="Z238" s="204"/>
    </row>
    <row r="239" spans="6:26" ht="15.75" customHeight="1" x14ac:dyDescent="0.35"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04"/>
      <c r="V239" s="204"/>
      <c r="W239" s="204"/>
      <c r="X239" s="204"/>
      <c r="Y239" s="204"/>
      <c r="Z239" s="204"/>
    </row>
    <row r="240" spans="6:26" ht="15.75" customHeight="1" x14ac:dyDescent="0.35"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04"/>
      <c r="V240" s="204"/>
      <c r="W240" s="204"/>
      <c r="X240" s="204"/>
      <c r="Y240" s="204"/>
      <c r="Z240" s="204"/>
    </row>
    <row r="241" spans="6:26" ht="15.75" customHeight="1" x14ac:dyDescent="0.35"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04"/>
      <c r="V241" s="204"/>
      <c r="W241" s="204"/>
      <c r="X241" s="204"/>
      <c r="Y241" s="204"/>
      <c r="Z241" s="204"/>
    </row>
    <row r="242" spans="6:26" ht="15.75" customHeight="1" x14ac:dyDescent="0.35"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04"/>
      <c r="V242" s="204"/>
      <c r="W242" s="204"/>
      <c r="X242" s="204"/>
      <c r="Y242" s="204"/>
      <c r="Z242" s="204"/>
    </row>
    <row r="243" spans="6:26" ht="15.75" customHeight="1" x14ac:dyDescent="0.35"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04"/>
      <c r="V243" s="204"/>
      <c r="W243" s="204"/>
      <c r="X243" s="204"/>
      <c r="Y243" s="204"/>
      <c r="Z243" s="204"/>
    </row>
    <row r="244" spans="6:26" ht="15.75" customHeight="1" x14ac:dyDescent="0.35"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04"/>
      <c r="V244" s="204"/>
      <c r="W244" s="204"/>
      <c r="X244" s="204"/>
      <c r="Y244" s="204"/>
      <c r="Z244" s="204"/>
    </row>
    <row r="245" spans="6:26" ht="15.75" customHeight="1" x14ac:dyDescent="0.35"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04"/>
      <c r="V245" s="204"/>
      <c r="W245" s="204"/>
      <c r="X245" s="204"/>
      <c r="Y245" s="204"/>
      <c r="Z245" s="204"/>
    </row>
    <row r="246" spans="6:26" ht="15.75" customHeight="1" x14ac:dyDescent="0.35"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04"/>
      <c r="V246" s="204"/>
      <c r="W246" s="204"/>
      <c r="X246" s="204"/>
      <c r="Y246" s="204"/>
      <c r="Z246" s="204"/>
    </row>
    <row r="247" spans="6:26" ht="15.75" customHeight="1" x14ac:dyDescent="0.35">
      <c r="U247" s="204"/>
      <c r="V247" s="204"/>
      <c r="W247" s="204"/>
      <c r="X247" s="204"/>
      <c r="Y247" s="204"/>
      <c r="Z247" s="204"/>
    </row>
    <row r="248" spans="6:26" ht="15.75" customHeight="1" x14ac:dyDescent="0.35">
      <c r="U248" s="204"/>
      <c r="V248" s="204"/>
      <c r="W248" s="204"/>
      <c r="X248" s="204"/>
      <c r="Y248" s="204"/>
      <c r="Z248" s="204"/>
    </row>
    <row r="249" spans="6:26" ht="15.75" customHeight="1" x14ac:dyDescent="0.35">
      <c r="U249" s="204"/>
      <c r="V249" s="204"/>
      <c r="W249" s="204"/>
      <c r="X249" s="204"/>
      <c r="Y249" s="204"/>
      <c r="Z249" s="204"/>
    </row>
    <row r="250" spans="6:26" ht="15.75" customHeight="1" x14ac:dyDescent="0.35">
      <c r="U250" s="204"/>
      <c r="V250" s="204"/>
      <c r="W250" s="204"/>
      <c r="X250" s="204"/>
      <c r="Y250" s="204"/>
      <c r="Z250" s="204"/>
    </row>
    <row r="251" spans="6:26" ht="15.75" customHeight="1" x14ac:dyDescent="0.35">
      <c r="U251" s="204"/>
      <c r="V251" s="204"/>
      <c r="W251" s="204"/>
      <c r="X251" s="204"/>
      <c r="Y251" s="204"/>
      <c r="Z251" s="204"/>
    </row>
    <row r="252" spans="6:26" ht="15.75" customHeight="1" x14ac:dyDescent="0.35">
      <c r="U252" s="204"/>
      <c r="V252" s="204"/>
      <c r="W252" s="204"/>
      <c r="X252" s="204"/>
      <c r="Y252" s="204"/>
      <c r="Z252" s="204"/>
    </row>
    <row r="253" spans="6:26" ht="15.75" customHeight="1" x14ac:dyDescent="0.35">
      <c r="U253" s="204"/>
      <c r="V253" s="204"/>
      <c r="W253" s="204"/>
      <c r="X253" s="204"/>
      <c r="Y253" s="204"/>
      <c r="Z253" s="204"/>
    </row>
    <row r="254" spans="6:26" ht="15.75" customHeight="1" x14ac:dyDescent="0.35">
      <c r="U254" s="204"/>
      <c r="V254" s="204"/>
      <c r="W254" s="204"/>
      <c r="X254" s="204"/>
      <c r="Y254" s="204"/>
      <c r="Z254" s="204"/>
    </row>
    <row r="255" spans="6:26" ht="15.75" customHeight="1" x14ac:dyDescent="0.35">
      <c r="U255" s="204"/>
      <c r="V255" s="204"/>
      <c r="W255" s="204"/>
      <c r="X255" s="204"/>
      <c r="Y255" s="204"/>
      <c r="Z255" s="204"/>
    </row>
    <row r="256" spans="6:26" ht="15.75" customHeight="1" x14ac:dyDescent="0.35">
      <c r="U256" s="204"/>
      <c r="V256" s="204"/>
      <c r="W256" s="204"/>
      <c r="X256" s="204"/>
      <c r="Y256" s="204"/>
      <c r="Z256" s="204"/>
    </row>
    <row r="257" spans="21:26" ht="15.75" customHeight="1" x14ac:dyDescent="0.35">
      <c r="U257" s="204"/>
      <c r="V257" s="204"/>
      <c r="W257" s="204"/>
      <c r="X257" s="204"/>
      <c r="Y257" s="204"/>
      <c r="Z257" s="204"/>
    </row>
    <row r="258" spans="21:26" ht="15.75" customHeight="1" x14ac:dyDescent="0.35">
      <c r="U258" s="204"/>
      <c r="V258" s="204"/>
      <c r="W258" s="204"/>
      <c r="X258" s="204"/>
      <c r="Y258" s="204"/>
      <c r="Z258" s="204"/>
    </row>
    <row r="259" spans="21:26" ht="15.75" customHeight="1" x14ac:dyDescent="0.35">
      <c r="U259" s="204"/>
      <c r="V259" s="204"/>
      <c r="W259" s="204"/>
      <c r="X259" s="204"/>
      <c r="Y259" s="204"/>
      <c r="Z259" s="204"/>
    </row>
    <row r="260" spans="21:26" ht="15.75" customHeight="1" x14ac:dyDescent="0.35">
      <c r="U260" s="204"/>
      <c r="V260" s="204"/>
      <c r="W260" s="204"/>
      <c r="X260" s="204"/>
      <c r="Y260" s="204"/>
      <c r="Z260" s="204"/>
    </row>
    <row r="261" spans="21:26" ht="15.75" customHeight="1" x14ac:dyDescent="0.35">
      <c r="U261" s="204"/>
      <c r="V261" s="204"/>
      <c r="W261" s="204"/>
      <c r="X261" s="204"/>
      <c r="Y261" s="204"/>
      <c r="Z261" s="204"/>
    </row>
    <row r="262" spans="21:26" ht="15.75" customHeight="1" x14ac:dyDescent="0.35">
      <c r="U262" s="204"/>
      <c r="V262" s="204"/>
      <c r="W262" s="204"/>
      <c r="X262" s="204"/>
      <c r="Y262" s="204"/>
      <c r="Z262" s="204"/>
    </row>
    <row r="263" spans="21:26" ht="15.75" customHeight="1" x14ac:dyDescent="0.35">
      <c r="U263" s="204"/>
      <c r="V263" s="204"/>
      <c r="W263" s="204"/>
      <c r="X263" s="204"/>
      <c r="Y263" s="204"/>
      <c r="Z263" s="204"/>
    </row>
    <row r="264" spans="21:26" ht="15.75" customHeight="1" x14ac:dyDescent="0.35">
      <c r="U264" s="204"/>
      <c r="V264" s="204"/>
      <c r="W264" s="204"/>
      <c r="X264" s="204"/>
      <c r="Y264" s="204"/>
      <c r="Z264" s="204"/>
    </row>
    <row r="265" spans="21:26" ht="15.75" customHeight="1" x14ac:dyDescent="0.35">
      <c r="U265" s="204"/>
      <c r="V265" s="204"/>
      <c r="W265" s="204"/>
      <c r="X265" s="204"/>
      <c r="Y265" s="204"/>
      <c r="Z265" s="204"/>
    </row>
    <row r="266" spans="21:26" ht="15.75" customHeight="1" x14ac:dyDescent="0.35">
      <c r="U266" s="204"/>
      <c r="V266" s="204"/>
      <c r="W266" s="204"/>
      <c r="X266" s="204"/>
      <c r="Y266" s="204"/>
      <c r="Z266" s="204"/>
    </row>
    <row r="267" spans="21:26" ht="15.75" customHeight="1" x14ac:dyDescent="0.35">
      <c r="U267" s="204"/>
      <c r="V267" s="204"/>
      <c r="W267" s="204"/>
      <c r="X267" s="204"/>
      <c r="Y267" s="204"/>
      <c r="Z267" s="204"/>
    </row>
    <row r="268" spans="21:26" ht="15.75" customHeight="1" x14ac:dyDescent="0.35">
      <c r="U268" s="204"/>
      <c r="V268" s="204"/>
      <c r="W268" s="204"/>
      <c r="X268" s="204"/>
      <c r="Y268" s="204"/>
      <c r="Z268" s="204"/>
    </row>
    <row r="269" spans="21:26" ht="15.75" customHeight="1" x14ac:dyDescent="0.35">
      <c r="U269" s="204"/>
      <c r="V269" s="204"/>
      <c r="W269" s="204"/>
      <c r="X269" s="204"/>
      <c r="Y269" s="204"/>
      <c r="Z269" s="204"/>
    </row>
    <row r="270" spans="21:26" ht="15.75" customHeight="1" x14ac:dyDescent="0.35">
      <c r="U270" s="204"/>
      <c r="V270" s="204"/>
      <c r="W270" s="204"/>
      <c r="X270" s="204"/>
      <c r="Y270" s="204"/>
      <c r="Z270" s="204"/>
    </row>
    <row r="271" spans="21:26" ht="15.75" customHeight="1" x14ac:dyDescent="0.35">
      <c r="U271" s="204"/>
      <c r="V271" s="204"/>
      <c r="W271" s="204"/>
      <c r="X271" s="204"/>
      <c r="Y271" s="204"/>
      <c r="Z271" s="204"/>
    </row>
    <row r="272" spans="21:26" ht="15.75" customHeight="1" x14ac:dyDescent="0.35">
      <c r="U272" s="204"/>
      <c r="V272" s="204"/>
      <c r="W272" s="204"/>
      <c r="X272" s="204"/>
      <c r="Y272" s="204"/>
      <c r="Z272" s="204"/>
    </row>
    <row r="273" spans="21:26" ht="15.75" customHeight="1" x14ac:dyDescent="0.35">
      <c r="U273" s="204"/>
      <c r="V273" s="204"/>
      <c r="W273" s="204"/>
      <c r="X273" s="204"/>
      <c r="Y273" s="204"/>
      <c r="Z273" s="204"/>
    </row>
    <row r="274" spans="21:26" ht="15.75" customHeight="1" x14ac:dyDescent="0.35">
      <c r="U274" s="204"/>
      <c r="V274" s="204"/>
      <c r="W274" s="204"/>
      <c r="X274" s="204"/>
      <c r="Y274" s="204"/>
      <c r="Z274" s="204"/>
    </row>
    <row r="275" spans="21:26" ht="15.75" customHeight="1" x14ac:dyDescent="0.35">
      <c r="U275" s="204"/>
      <c r="V275" s="204"/>
      <c r="W275" s="204"/>
      <c r="X275" s="204"/>
      <c r="Y275" s="204"/>
      <c r="Z275" s="204"/>
    </row>
    <row r="276" spans="21:26" ht="15.75" customHeight="1" x14ac:dyDescent="0.35">
      <c r="U276" s="204"/>
      <c r="V276" s="204"/>
      <c r="W276" s="204"/>
      <c r="X276" s="204"/>
      <c r="Y276" s="204"/>
      <c r="Z276" s="204"/>
    </row>
    <row r="277" spans="21:26" ht="15.75" customHeight="1" x14ac:dyDescent="0.35">
      <c r="U277" s="204"/>
      <c r="V277" s="204"/>
      <c r="W277" s="204"/>
      <c r="X277" s="204"/>
      <c r="Y277" s="204"/>
      <c r="Z277" s="204"/>
    </row>
    <row r="278" spans="21:26" ht="15.75" customHeight="1" x14ac:dyDescent="0.35">
      <c r="U278" s="204"/>
      <c r="V278" s="204"/>
      <c r="W278" s="204"/>
      <c r="X278" s="204"/>
      <c r="Y278" s="204"/>
      <c r="Z278" s="204"/>
    </row>
    <row r="279" spans="21:26" ht="15.75" customHeight="1" x14ac:dyDescent="0.35">
      <c r="U279" s="204"/>
      <c r="V279" s="204"/>
      <c r="W279" s="204"/>
      <c r="X279" s="204"/>
      <c r="Y279" s="204"/>
      <c r="Z279" s="204"/>
    </row>
    <row r="280" spans="21:26" ht="15.75" customHeight="1" x14ac:dyDescent="0.35">
      <c r="U280" s="204"/>
      <c r="V280" s="204"/>
      <c r="W280" s="204"/>
      <c r="X280" s="204"/>
      <c r="Y280" s="204"/>
      <c r="Z280" s="204"/>
    </row>
    <row r="281" spans="21:26" ht="15.75" customHeight="1" x14ac:dyDescent="0.35">
      <c r="U281" s="204"/>
      <c r="V281" s="204"/>
      <c r="W281" s="204"/>
      <c r="X281" s="204"/>
      <c r="Y281" s="204"/>
      <c r="Z281" s="204"/>
    </row>
    <row r="282" spans="21:26" ht="15.75" customHeight="1" x14ac:dyDescent="0.35">
      <c r="U282" s="204"/>
      <c r="V282" s="204"/>
      <c r="W282" s="204"/>
      <c r="X282" s="204"/>
      <c r="Y282" s="204"/>
      <c r="Z282" s="204"/>
    </row>
    <row r="283" spans="21:26" ht="15.75" customHeight="1" x14ac:dyDescent="0.35">
      <c r="U283" s="204"/>
      <c r="V283" s="204"/>
      <c r="W283" s="204"/>
      <c r="X283" s="204"/>
      <c r="Y283" s="204"/>
      <c r="Z283" s="204"/>
    </row>
    <row r="284" spans="21:26" ht="15.75" customHeight="1" x14ac:dyDescent="0.35">
      <c r="U284" s="204"/>
      <c r="V284" s="204"/>
      <c r="W284" s="204"/>
      <c r="X284" s="204"/>
      <c r="Y284" s="204"/>
      <c r="Z284" s="204"/>
    </row>
    <row r="285" spans="21:26" ht="15.75" customHeight="1" x14ac:dyDescent="0.35">
      <c r="U285" s="204"/>
      <c r="V285" s="204"/>
      <c r="W285" s="204"/>
      <c r="X285" s="204"/>
      <c r="Y285" s="204"/>
      <c r="Z285" s="204"/>
    </row>
    <row r="286" spans="21:26" ht="15.75" customHeight="1" x14ac:dyDescent="0.35">
      <c r="U286" s="204"/>
      <c r="V286" s="204"/>
      <c r="W286" s="204"/>
      <c r="X286" s="204"/>
      <c r="Y286" s="204"/>
      <c r="Z286" s="204"/>
    </row>
    <row r="287" spans="21:26" ht="15.75" customHeight="1" x14ac:dyDescent="0.35">
      <c r="U287" s="204"/>
      <c r="V287" s="204"/>
      <c r="W287" s="204"/>
      <c r="X287" s="204"/>
      <c r="Y287" s="204"/>
      <c r="Z287" s="204"/>
    </row>
    <row r="288" spans="21:26" ht="15.75" customHeight="1" x14ac:dyDescent="0.35">
      <c r="U288" s="204"/>
      <c r="V288" s="204"/>
      <c r="W288" s="204"/>
      <c r="X288" s="204"/>
      <c r="Y288" s="204"/>
      <c r="Z288" s="204"/>
    </row>
    <row r="289" spans="21:26" ht="15.75" customHeight="1" x14ac:dyDescent="0.35">
      <c r="U289" s="204"/>
      <c r="V289" s="204"/>
      <c r="W289" s="204"/>
      <c r="X289" s="204"/>
      <c r="Y289" s="204"/>
      <c r="Z289" s="204"/>
    </row>
    <row r="290" spans="21:26" ht="15.75" customHeight="1" x14ac:dyDescent="0.35">
      <c r="U290" s="204"/>
      <c r="V290" s="204"/>
      <c r="W290" s="204"/>
      <c r="X290" s="204"/>
      <c r="Y290" s="204"/>
      <c r="Z290" s="204"/>
    </row>
    <row r="291" spans="21:26" ht="15.75" customHeight="1" x14ac:dyDescent="0.35">
      <c r="U291" s="204"/>
      <c r="V291" s="204"/>
      <c r="W291" s="204"/>
      <c r="X291" s="204"/>
      <c r="Y291" s="204"/>
      <c r="Z291" s="204"/>
    </row>
    <row r="292" spans="21:26" ht="15.75" customHeight="1" x14ac:dyDescent="0.35">
      <c r="U292" s="204"/>
      <c r="V292" s="204"/>
      <c r="W292" s="204"/>
      <c r="X292" s="204"/>
      <c r="Y292" s="204"/>
      <c r="Z292" s="204"/>
    </row>
    <row r="293" spans="21:26" ht="15.75" customHeight="1" x14ac:dyDescent="0.35">
      <c r="U293" s="204"/>
      <c r="V293" s="204"/>
      <c r="W293" s="204"/>
      <c r="X293" s="204"/>
      <c r="Y293" s="204"/>
      <c r="Z293" s="204"/>
    </row>
    <row r="294" spans="21:26" ht="15.75" customHeight="1" x14ac:dyDescent="0.35">
      <c r="U294" s="204"/>
      <c r="V294" s="204"/>
      <c r="W294" s="204"/>
      <c r="X294" s="204"/>
      <c r="Y294" s="204"/>
      <c r="Z294" s="204"/>
    </row>
    <row r="295" spans="21:26" ht="15.75" customHeight="1" x14ac:dyDescent="0.35">
      <c r="U295" s="204"/>
      <c r="V295" s="204"/>
      <c r="W295" s="204"/>
      <c r="X295" s="204"/>
      <c r="Y295" s="204"/>
      <c r="Z295" s="204"/>
    </row>
    <row r="296" spans="21:26" ht="15.75" customHeight="1" x14ac:dyDescent="0.35">
      <c r="U296" s="204"/>
      <c r="V296" s="204"/>
      <c r="W296" s="204"/>
      <c r="X296" s="204"/>
      <c r="Y296" s="204"/>
      <c r="Z296" s="204"/>
    </row>
    <row r="297" spans="21:26" ht="15.75" customHeight="1" x14ac:dyDescent="0.35">
      <c r="U297" s="204"/>
      <c r="V297" s="204"/>
      <c r="W297" s="204"/>
      <c r="X297" s="204"/>
      <c r="Y297" s="204"/>
      <c r="Z297" s="204"/>
    </row>
    <row r="298" spans="21:26" ht="15.75" customHeight="1" x14ac:dyDescent="0.35">
      <c r="U298" s="204"/>
      <c r="V298" s="204"/>
      <c r="W298" s="204"/>
      <c r="X298" s="204"/>
      <c r="Y298" s="204"/>
      <c r="Z298" s="204"/>
    </row>
    <row r="299" spans="21:26" ht="15.75" customHeight="1" x14ac:dyDescent="0.35">
      <c r="U299" s="204"/>
      <c r="V299" s="204"/>
      <c r="W299" s="204"/>
      <c r="X299" s="204"/>
      <c r="Y299" s="204"/>
      <c r="Z299" s="204"/>
    </row>
    <row r="300" spans="21:26" ht="15.75" customHeight="1" x14ac:dyDescent="0.35">
      <c r="U300" s="204"/>
      <c r="V300" s="204"/>
      <c r="W300" s="204"/>
      <c r="X300" s="204"/>
      <c r="Y300" s="204"/>
      <c r="Z300" s="204"/>
    </row>
    <row r="301" spans="21:26" ht="15.75" customHeight="1" x14ac:dyDescent="0.35">
      <c r="U301" s="204"/>
      <c r="V301" s="204"/>
      <c r="W301" s="204"/>
      <c r="X301" s="204"/>
      <c r="Y301" s="204"/>
      <c r="Z301" s="204"/>
    </row>
    <row r="302" spans="21:26" ht="15.75" customHeight="1" x14ac:dyDescent="0.35">
      <c r="U302" s="204"/>
      <c r="V302" s="204"/>
      <c r="W302" s="204"/>
      <c r="X302" s="204"/>
      <c r="Y302" s="204"/>
      <c r="Z302" s="204"/>
    </row>
    <row r="303" spans="21:26" ht="15.75" customHeight="1" x14ac:dyDescent="0.35">
      <c r="U303" s="204"/>
      <c r="V303" s="204"/>
      <c r="W303" s="204"/>
      <c r="X303" s="204"/>
      <c r="Y303" s="204"/>
      <c r="Z303" s="204"/>
    </row>
    <row r="304" spans="21:26" ht="15.75" customHeight="1" x14ac:dyDescent="0.35">
      <c r="U304" s="204"/>
      <c r="V304" s="204"/>
      <c r="W304" s="204"/>
      <c r="X304" s="204"/>
      <c r="Y304" s="204"/>
      <c r="Z304" s="204"/>
    </row>
    <row r="305" spans="21:26" ht="15.75" customHeight="1" x14ac:dyDescent="0.35">
      <c r="U305" s="204"/>
      <c r="V305" s="204"/>
      <c r="W305" s="204"/>
      <c r="X305" s="204"/>
      <c r="Y305" s="204"/>
      <c r="Z305" s="204"/>
    </row>
    <row r="306" spans="21:26" ht="15.75" customHeight="1" x14ac:dyDescent="0.35">
      <c r="U306" s="204"/>
      <c r="V306" s="204"/>
      <c r="W306" s="204"/>
      <c r="X306" s="204"/>
      <c r="Y306" s="204"/>
      <c r="Z306" s="204"/>
    </row>
    <row r="307" spans="21:26" ht="15.75" customHeight="1" x14ac:dyDescent="0.35">
      <c r="U307" s="204"/>
      <c r="V307" s="204"/>
      <c r="W307" s="204"/>
      <c r="X307" s="204"/>
      <c r="Y307" s="204"/>
      <c r="Z307" s="204"/>
    </row>
    <row r="308" spans="21:26" ht="15.75" customHeight="1" x14ac:dyDescent="0.35">
      <c r="U308" s="204"/>
      <c r="V308" s="204"/>
      <c r="W308" s="204"/>
      <c r="X308" s="204"/>
      <c r="Y308" s="204"/>
      <c r="Z308" s="204"/>
    </row>
    <row r="309" spans="21:26" ht="15.75" customHeight="1" x14ac:dyDescent="0.35">
      <c r="U309" s="204"/>
      <c r="V309" s="204"/>
      <c r="W309" s="204"/>
      <c r="X309" s="204"/>
      <c r="Y309" s="204"/>
      <c r="Z309" s="204"/>
    </row>
    <row r="310" spans="21:26" ht="15.75" customHeight="1" x14ac:dyDescent="0.35">
      <c r="U310" s="204"/>
      <c r="V310" s="204"/>
      <c r="W310" s="204"/>
      <c r="X310" s="204"/>
      <c r="Y310" s="204"/>
      <c r="Z310" s="204"/>
    </row>
    <row r="311" spans="21:26" ht="15.75" customHeight="1" x14ac:dyDescent="0.35">
      <c r="U311" s="204"/>
      <c r="V311" s="204"/>
      <c r="W311" s="204"/>
      <c r="X311" s="204"/>
      <c r="Y311" s="204"/>
      <c r="Z311" s="204"/>
    </row>
    <row r="312" spans="21:26" ht="15.75" customHeight="1" x14ac:dyDescent="0.35">
      <c r="U312" s="204"/>
      <c r="V312" s="204"/>
      <c r="W312" s="204"/>
      <c r="X312" s="204"/>
      <c r="Y312" s="204"/>
      <c r="Z312" s="204"/>
    </row>
    <row r="313" spans="21:26" ht="15.75" customHeight="1" x14ac:dyDescent="0.35">
      <c r="U313" s="204"/>
      <c r="V313" s="204"/>
      <c r="W313" s="204"/>
      <c r="X313" s="204"/>
      <c r="Y313" s="204"/>
      <c r="Z313" s="204"/>
    </row>
    <row r="314" spans="21:26" ht="15.75" customHeight="1" x14ac:dyDescent="0.35">
      <c r="U314" s="204"/>
      <c r="V314" s="204"/>
      <c r="W314" s="204"/>
      <c r="X314" s="204"/>
      <c r="Y314" s="204"/>
      <c r="Z314" s="204"/>
    </row>
    <row r="315" spans="21:26" ht="15.75" customHeight="1" x14ac:dyDescent="0.35">
      <c r="U315" s="204"/>
      <c r="V315" s="204"/>
      <c r="W315" s="204"/>
      <c r="X315" s="204"/>
      <c r="Y315" s="204"/>
      <c r="Z315" s="204"/>
    </row>
    <row r="316" spans="21:26" ht="15.75" customHeight="1" x14ac:dyDescent="0.35">
      <c r="U316" s="204"/>
      <c r="V316" s="204"/>
      <c r="W316" s="204"/>
      <c r="X316" s="204"/>
      <c r="Y316" s="204"/>
      <c r="Z316" s="204"/>
    </row>
    <row r="317" spans="21:26" ht="15.75" customHeight="1" x14ac:dyDescent="0.35">
      <c r="U317" s="204"/>
      <c r="V317" s="204"/>
      <c r="W317" s="204"/>
      <c r="X317" s="204"/>
      <c r="Y317" s="204"/>
      <c r="Z317" s="204"/>
    </row>
    <row r="318" spans="21:26" ht="15.75" customHeight="1" x14ac:dyDescent="0.35">
      <c r="U318" s="204"/>
      <c r="V318" s="204"/>
      <c r="W318" s="204"/>
      <c r="X318" s="204"/>
      <c r="Y318" s="204"/>
      <c r="Z318" s="204"/>
    </row>
    <row r="319" spans="21:26" ht="15.75" customHeight="1" x14ac:dyDescent="0.35">
      <c r="U319" s="204"/>
      <c r="V319" s="204"/>
      <c r="W319" s="204"/>
      <c r="X319" s="204"/>
      <c r="Y319" s="204"/>
      <c r="Z319" s="204"/>
    </row>
    <row r="320" spans="21:26" ht="15.75" customHeight="1" x14ac:dyDescent="0.35">
      <c r="U320" s="204"/>
      <c r="V320" s="204"/>
      <c r="W320" s="204"/>
      <c r="X320" s="204"/>
      <c r="Y320" s="204"/>
      <c r="Z320" s="204"/>
    </row>
    <row r="321" spans="21:26" ht="15.75" customHeight="1" x14ac:dyDescent="0.35">
      <c r="U321" s="204"/>
      <c r="V321" s="204"/>
      <c r="W321" s="204"/>
      <c r="X321" s="204"/>
      <c r="Y321" s="204"/>
      <c r="Z321" s="204"/>
    </row>
    <row r="322" spans="21:26" ht="15.75" customHeight="1" x14ac:dyDescent="0.35">
      <c r="U322" s="204"/>
      <c r="V322" s="204"/>
      <c r="W322" s="204"/>
      <c r="X322" s="204"/>
      <c r="Y322" s="204"/>
      <c r="Z322" s="204"/>
    </row>
    <row r="323" spans="21:26" ht="15.75" customHeight="1" x14ac:dyDescent="0.35">
      <c r="U323" s="204"/>
      <c r="V323" s="204"/>
      <c r="W323" s="204"/>
      <c r="X323" s="204"/>
      <c r="Y323" s="204"/>
      <c r="Z323" s="204"/>
    </row>
    <row r="324" spans="21:26" ht="15.75" customHeight="1" x14ac:dyDescent="0.35">
      <c r="U324" s="204"/>
      <c r="V324" s="204"/>
      <c r="W324" s="204"/>
      <c r="X324" s="204"/>
      <c r="Y324" s="204"/>
      <c r="Z324" s="204"/>
    </row>
    <row r="325" spans="21:26" ht="15.75" customHeight="1" x14ac:dyDescent="0.35">
      <c r="U325" s="204"/>
      <c r="V325" s="204"/>
      <c r="W325" s="204"/>
      <c r="X325" s="204"/>
      <c r="Y325" s="204"/>
      <c r="Z325" s="204"/>
    </row>
    <row r="326" spans="21:26" ht="15.75" customHeight="1" x14ac:dyDescent="0.35">
      <c r="U326" s="204"/>
      <c r="V326" s="204"/>
      <c r="W326" s="204"/>
      <c r="X326" s="204"/>
      <c r="Y326" s="204"/>
      <c r="Z326" s="204"/>
    </row>
    <row r="327" spans="21:26" ht="15.75" customHeight="1" x14ac:dyDescent="0.35">
      <c r="U327" s="204"/>
      <c r="V327" s="204"/>
      <c r="W327" s="204"/>
      <c r="X327" s="204"/>
      <c r="Y327" s="204"/>
      <c r="Z327" s="204"/>
    </row>
    <row r="328" spans="21:26" ht="15.75" customHeight="1" x14ac:dyDescent="0.35">
      <c r="U328" s="204"/>
      <c r="V328" s="204"/>
      <c r="W328" s="204"/>
      <c r="X328" s="204"/>
      <c r="Y328" s="204"/>
      <c r="Z328" s="204"/>
    </row>
    <row r="329" spans="21:26" ht="15.75" customHeight="1" x14ac:dyDescent="0.35">
      <c r="U329" s="204"/>
      <c r="V329" s="204"/>
      <c r="W329" s="204"/>
      <c r="X329" s="204"/>
      <c r="Y329" s="204"/>
      <c r="Z329" s="204"/>
    </row>
    <row r="330" spans="21:26" ht="15.75" customHeight="1" x14ac:dyDescent="0.35">
      <c r="U330" s="204"/>
      <c r="V330" s="204"/>
      <c r="W330" s="204"/>
      <c r="X330" s="204"/>
      <c r="Y330" s="204"/>
      <c r="Z330" s="204"/>
    </row>
    <row r="331" spans="21:26" ht="15.75" customHeight="1" x14ac:dyDescent="0.35">
      <c r="U331" s="204"/>
      <c r="V331" s="204"/>
      <c r="W331" s="204"/>
      <c r="X331" s="204"/>
      <c r="Y331" s="204"/>
      <c r="Z331" s="204"/>
    </row>
    <row r="332" spans="21:26" ht="15.75" customHeight="1" x14ac:dyDescent="0.35">
      <c r="U332" s="204"/>
      <c r="V332" s="204"/>
      <c r="W332" s="204"/>
      <c r="X332" s="204"/>
      <c r="Y332" s="204"/>
      <c r="Z332" s="204"/>
    </row>
    <row r="333" spans="21:26" ht="15.75" customHeight="1" x14ac:dyDescent="0.35">
      <c r="U333" s="204"/>
      <c r="V333" s="204"/>
      <c r="W333" s="204"/>
      <c r="X333" s="204"/>
      <c r="Y333" s="204"/>
      <c r="Z333" s="204"/>
    </row>
    <row r="334" spans="21:26" ht="15.75" customHeight="1" x14ac:dyDescent="0.35">
      <c r="U334" s="204"/>
      <c r="V334" s="204"/>
      <c r="W334" s="204"/>
      <c r="X334" s="204"/>
      <c r="Y334" s="204"/>
      <c r="Z334" s="204"/>
    </row>
    <row r="335" spans="21:26" ht="15.75" customHeight="1" x14ac:dyDescent="0.35">
      <c r="U335" s="204"/>
      <c r="V335" s="204"/>
      <c r="W335" s="204"/>
      <c r="X335" s="204"/>
      <c r="Y335" s="204"/>
      <c r="Z335" s="204"/>
    </row>
    <row r="336" spans="21:26" ht="15.75" customHeight="1" x14ac:dyDescent="0.35">
      <c r="U336" s="204"/>
      <c r="V336" s="204"/>
      <c r="W336" s="204"/>
      <c r="X336" s="204"/>
      <c r="Y336" s="204"/>
      <c r="Z336" s="204"/>
    </row>
    <row r="337" spans="21:26" ht="15.75" customHeight="1" x14ac:dyDescent="0.35">
      <c r="U337" s="204"/>
      <c r="V337" s="204"/>
      <c r="W337" s="204"/>
      <c r="X337" s="204"/>
      <c r="Y337" s="204"/>
      <c r="Z337" s="204"/>
    </row>
    <row r="338" spans="21:26" ht="15.75" customHeight="1" x14ac:dyDescent="0.35">
      <c r="U338" s="204"/>
      <c r="V338" s="204"/>
      <c r="W338" s="204"/>
      <c r="X338" s="204"/>
      <c r="Y338" s="204"/>
      <c r="Z338" s="204"/>
    </row>
    <row r="339" spans="21:26" ht="15.75" customHeight="1" x14ac:dyDescent="0.35">
      <c r="U339" s="204"/>
      <c r="V339" s="204"/>
      <c r="W339" s="204"/>
      <c r="X339" s="204"/>
      <c r="Y339" s="204"/>
      <c r="Z339" s="204"/>
    </row>
    <row r="340" spans="21:26" ht="15.75" customHeight="1" x14ac:dyDescent="0.35">
      <c r="U340" s="204"/>
      <c r="V340" s="204"/>
      <c r="W340" s="204"/>
      <c r="X340" s="204"/>
      <c r="Y340" s="204"/>
      <c r="Z340" s="204"/>
    </row>
    <row r="341" spans="21:26" ht="15.75" customHeight="1" x14ac:dyDescent="0.35">
      <c r="U341" s="204"/>
      <c r="V341" s="204"/>
      <c r="W341" s="204"/>
      <c r="X341" s="204"/>
      <c r="Y341" s="204"/>
      <c r="Z341" s="204"/>
    </row>
    <row r="342" spans="21:26" ht="15.75" customHeight="1" x14ac:dyDescent="0.35">
      <c r="U342" s="204"/>
      <c r="V342" s="204"/>
      <c r="W342" s="204"/>
      <c r="X342" s="204"/>
      <c r="Y342" s="204"/>
      <c r="Z342" s="204"/>
    </row>
    <row r="343" spans="21:26" ht="15.75" customHeight="1" x14ac:dyDescent="0.35">
      <c r="U343" s="204"/>
      <c r="V343" s="204"/>
      <c r="W343" s="204"/>
      <c r="X343" s="204"/>
      <c r="Y343" s="204"/>
      <c r="Z343" s="204"/>
    </row>
    <row r="344" spans="21:26" ht="15.75" customHeight="1" x14ac:dyDescent="0.35">
      <c r="U344" s="204"/>
      <c r="V344" s="204"/>
      <c r="W344" s="204"/>
      <c r="X344" s="204"/>
      <c r="Y344" s="204"/>
      <c r="Z344" s="204"/>
    </row>
    <row r="345" spans="21:26" ht="15.75" customHeight="1" x14ac:dyDescent="0.35">
      <c r="U345" s="204"/>
      <c r="V345" s="204"/>
      <c r="W345" s="204"/>
      <c r="X345" s="204"/>
      <c r="Y345" s="204"/>
      <c r="Z345" s="204"/>
    </row>
    <row r="346" spans="21:26" ht="15.75" customHeight="1" x14ac:dyDescent="0.35">
      <c r="U346" s="204"/>
      <c r="V346" s="204"/>
      <c r="W346" s="204"/>
      <c r="X346" s="204"/>
      <c r="Y346" s="204"/>
      <c r="Z346" s="204"/>
    </row>
    <row r="347" spans="21:26" ht="15.75" customHeight="1" x14ac:dyDescent="0.35">
      <c r="U347" s="204"/>
      <c r="V347" s="204"/>
      <c r="W347" s="204"/>
      <c r="X347" s="204"/>
      <c r="Y347" s="204"/>
      <c r="Z347" s="204"/>
    </row>
    <row r="348" spans="21:26" ht="15.75" customHeight="1" x14ac:dyDescent="0.35">
      <c r="U348" s="204"/>
      <c r="V348" s="204"/>
      <c r="W348" s="204"/>
      <c r="X348" s="204"/>
      <c r="Y348" s="204"/>
      <c r="Z348" s="204"/>
    </row>
    <row r="349" spans="21:26" ht="15.75" customHeight="1" x14ac:dyDescent="0.35">
      <c r="U349" s="204"/>
      <c r="V349" s="204"/>
      <c r="W349" s="204"/>
      <c r="X349" s="204"/>
      <c r="Y349" s="204"/>
      <c r="Z349" s="204"/>
    </row>
    <row r="350" spans="21:26" ht="15.75" customHeight="1" x14ac:dyDescent="0.35">
      <c r="U350" s="204"/>
      <c r="V350" s="204"/>
      <c r="W350" s="204"/>
      <c r="X350" s="204"/>
      <c r="Y350" s="204"/>
      <c r="Z350" s="204"/>
    </row>
    <row r="351" spans="21:26" ht="15.75" customHeight="1" x14ac:dyDescent="0.35">
      <c r="U351" s="204"/>
      <c r="V351" s="204"/>
      <c r="W351" s="204"/>
      <c r="X351" s="204"/>
      <c r="Y351" s="204"/>
      <c r="Z351" s="204"/>
    </row>
    <row r="352" spans="21:26" ht="15.75" customHeight="1" x14ac:dyDescent="0.35">
      <c r="U352" s="204"/>
      <c r="V352" s="204"/>
      <c r="W352" s="204"/>
      <c r="X352" s="204"/>
      <c r="Y352" s="204"/>
      <c r="Z352" s="204"/>
    </row>
    <row r="353" spans="21:26" ht="15.75" customHeight="1" x14ac:dyDescent="0.35">
      <c r="U353" s="204"/>
      <c r="V353" s="204"/>
      <c r="W353" s="204"/>
      <c r="X353" s="204"/>
      <c r="Y353" s="204"/>
      <c r="Z353" s="204"/>
    </row>
    <row r="354" spans="21:26" ht="15.75" customHeight="1" x14ac:dyDescent="0.35">
      <c r="U354" s="204"/>
      <c r="V354" s="204"/>
      <c r="W354" s="204"/>
      <c r="X354" s="204"/>
      <c r="Y354" s="204"/>
      <c r="Z354" s="204"/>
    </row>
    <row r="355" spans="21:26" ht="15.75" customHeight="1" x14ac:dyDescent="0.35">
      <c r="U355" s="204"/>
      <c r="V355" s="204"/>
      <c r="W355" s="204"/>
      <c r="X355" s="204"/>
      <c r="Y355" s="204"/>
      <c r="Z355" s="204"/>
    </row>
    <row r="356" spans="21:26" ht="15.75" customHeight="1" x14ac:dyDescent="0.35">
      <c r="U356" s="204"/>
      <c r="V356" s="204"/>
      <c r="W356" s="204"/>
      <c r="X356" s="204"/>
      <c r="Y356" s="204"/>
      <c r="Z356" s="204"/>
    </row>
    <row r="357" spans="21:26" ht="15.75" customHeight="1" x14ac:dyDescent="0.35">
      <c r="U357" s="204"/>
      <c r="V357" s="204"/>
      <c r="W357" s="204"/>
      <c r="X357" s="204"/>
      <c r="Y357" s="204"/>
      <c r="Z357" s="204"/>
    </row>
    <row r="358" spans="21:26" ht="15.75" customHeight="1" x14ac:dyDescent="0.35">
      <c r="U358" s="204"/>
      <c r="V358" s="204"/>
      <c r="W358" s="204"/>
      <c r="X358" s="204"/>
      <c r="Y358" s="204"/>
      <c r="Z358" s="204"/>
    </row>
    <row r="359" spans="21:26" ht="15.75" customHeight="1" x14ac:dyDescent="0.35">
      <c r="U359" s="204"/>
      <c r="V359" s="204"/>
      <c r="W359" s="204"/>
      <c r="X359" s="204"/>
      <c r="Y359" s="204"/>
      <c r="Z359" s="204"/>
    </row>
    <row r="360" spans="21:26" ht="15.75" customHeight="1" x14ac:dyDescent="0.35">
      <c r="U360" s="204"/>
      <c r="V360" s="204"/>
      <c r="W360" s="204"/>
      <c r="X360" s="204"/>
      <c r="Y360" s="204"/>
      <c r="Z360" s="204"/>
    </row>
    <row r="361" spans="21:26" ht="15.75" customHeight="1" x14ac:dyDescent="0.35">
      <c r="U361" s="204"/>
      <c r="V361" s="204"/>
      <c r="W361" s="204"/>
      <c r="X361" s="204"/>
      <c r="Y361" s="204"/>
      <c r="Z361" s="204"/>
    </row>
    <row r="362" spans="21:26" ht="15.75" customHeight="1" x14ac:dyDescent="0.35">
      <c r="U362" s="204"/>
      <c r="V362" s="204"/>
      <c r="W362" s="204"/>
      <c r="X362" s="204"/>
      <c r="Y362" s="204"/>
      <c r="Z362" s="204"/>
    </row>
    <row r="363" spans="21:26" ht="15.75" customHeight="1" x14ac:dyDescent="0.35">
      <c r="U363" s="204"/>
      <c r="V363" s="204"/>
      <c r="W363" s="204"/>
      <c r="X363" s="204"/>
      <c r="Y363" s="204"/>
      <c r="Z363" s="204"/>
    </row>
    <row r="364" spans="21:26" ht="15.75" customHeight="1" x14ac:dyDescent="0.35">
      <c r="U364" s="204"/>
      <c r="V364" s="204"/>
      <c r="W364" s="204"/>
      <c r="X364" s="204"/>
      <c r="Y364" s="204"/>
      <c r="Z364" s="204"/>
    </row>
    <row r="365" spans="21:26" ht="15.75" customHeight="1" x14ac:dyDescent="0.35">
      <c r="U365" s="204"/>
      <c r="V365" s="204"/>
      <c r="W365" s="204"/>
      <c r="X365" s="204"/>
      <c r="Y365" s="204"/>
      <c r="Z365" s="204"/>
    </row>
    <row r="366" spans="21:26" ht="15.75" customHeight="1" x14ac:dyDescent="0.35">
      <c r="U366" s="204"/>
      <c r="V366" s="204"/>
      <c r="W366" s="204"/>
      <c r="X366" s="204"/>
      <c r="Y366" s="204"/>
      <c r="Z366" s="204"/>
    </row>
    <row r="367" spans="21:26" ht="15.75" customHeight="1" x14ac:dyDescent="0.35">
      <c r="U367" s="204"/>
      <c r="V367" s="204"/>
      <c r="W367" s="204"/>
      <c r="X367" s="204"/>
      <c r="Y367" s="204"/>
      <c r="Z367" s="204"/>
    </row>
    <row r="368" spans="21:26" ht="15.75" customHeight="1" x14ac:dyDescent="0.35">
      <c r="U368" s="204"/>
      <c r="V368" s="204"/>
      <c r="W368" s="204"/>
      <c r="X368" s="204"/>
      <c r="Y368" s="204"/>
      <c r="Z368" s="204"/>
    </row>
    <row r="369" spans="21:26" ht="15.75" customHeight="1" x14ac:dyDescent="0.35">
      <c r="U369" s="204"/>
      <c r="V369" s="204"/>
      <c r="W369" s="204"/>
      <c r="X369" s="204"/>
      <c r="Y369" s="204"/>
      <c r="Z369" s="204"/>
    </row>
    <row r="370" spans="21:26" ht="15.75" customHeight="1" x14ac:dyDescent="0.35">
      <c r="U370" s="204"/>
      <c r="V370" s="204"/>
      <c r="W370" s="204"/>
      <c r="X370" s="204"/>
      <c r="Y370" s="204"/>
      <c r="Z370" s="204"/>
    </row>
    <row r="371" spans="21:26" ht="15.75" customHeight="1" x14ac:dyDescent="0.35">
      <c r="U371" s="204"/>
      <c r="V371" s="204"/>
      <c r="W371" s="204"/>
      <c r="X371" s="204"/>
      <c r="Y371" s="204"/>
      <c r="Z371" s="204"/>
    </row>
    <row r="372" spans="21:26" ht="15.75" customHeight="1" x14ac:dyDescent="0.35">
      <c r="U372" s="204"/>
      <c r="V372" s="204"/>
      <c r="W372" s="204"/>
      <c r="X372" s="204"/>
      <c r="Y372" s="204"/>
      <c r="Z372" s="204"/>
    </row>
    <row r="373" spans="21:26" ht="15.75" customHeight="1" x14ac:dyDescent="0.35">
      <c r="U373" s="204"/>
      <c r="V373" s="204"/>
      <c r="W373" s="204"/>
      <c r="X373" s="204"/>
      <c r="Y373" s="204"/>
      <c r="Z373" s="204"/>
    </row>
    <row r="374" spans="21:26" ht="15.75" customHeight="1" x14ac:dyDescent="0.35">
      <c r="U374" s="204"/>
      <c r="V374" s="204"/>
      <c r="W374" s="204"/>
      <c r="X374" s="204"/>
      <c r="Y374" s="204"/>
      <c r="Z374" s="204"/>
    </row>
    <row r="375" spans="21:26" ht="15.75" customHeight="1" x14ac:dyDescent="0.35">
      <c r="U375" s="204"/>
      <c r="V375" s="204"/>
      <c r="W375" s="204"/>
      <c r="X375" s="204"/>
      <c r="Y375" s="204"/>
      <c r="Z375" s="204"/>
    </row>
    <row r="376" spans="21:26" ht="15.75" customHeight="1" x14ac:dyDescent="0.35">
      <c r="U376" s="204"/>
      <c r="V376" s="204"/>
      <c r="W376" s="204"/>
      <c r="X376" s="204"/>
      <c r="Y376" s="204"/>
      <c r="Z376" s="204"/>
    </row>
    <row r="377" spans="21:26" ht="15.75" customHeight="1" x14ac:dyDescent="0.35">
      <c r="U377" s="204"/>
      <c r="V377" s="204"/>
      <c r="W377" s="204"/>
      <c r="X377" s="204"/>
      <c r="Y377" s="204"/>
      <c r="Z377" s="204"/>
    </row>
    <row r="378" spans="21:26" ht="15.75" customHeight="1" x14ac:dyDescent="0.35">
      <c r="U378" s="204"/>
      <c r="V378" s="204"/>
      <c r="W378" s="204"/>
      <c r="X378" s="204"/>
      <c r="Y378" s="204"/>
      <c r="Z378" s="204"/>
    </row>
    <row r="379" spans="21:26" ht="15.75" customHeight="1" x14ac:dyDescent="0.35">
      <c r="U379" s="204"/>
      <c r="V379" s="204"/>
      <c r="W379" s="204"/>
      <c r="X379" s="204"/>
      <c r="Y379" s="204"/>
      <c r="Z379" s="204"/>
    </row>
    <row r="380" spans="21:26" ht="15.75" customHeight="1" x14ac:dyDescent="0.35">
      <c r="U380" s="204"/>
      <c r="V380" s="204"/>
      <c r="W380" s="204"/>
      <c r="X380" s="204"/>
      <c r="Y380" s="204"/>
      <c r="Z380" s="204"/>
    </row>
    <row r="381" spans="21:26" ht="15.75" customHeight="1" x14ac:dyDescent="0.35">
      <c r="U381" s="204"/>
      <c r="V381" s="204"/>
      <c r="W381" s="204"/>
      <c r="X381" s="204"/>
      <c r="Y381" s="204"/>
      <c r="Z381" s="204"/>
    </row>
    <row r="382" spans="21:26" ht="15.75" customHeight="1" x14ac:dyDescent="0.35">
      <c r="U382" s="204"/>
      <c r="V382" s="204"/>
      <c r="W382" s="204"/>
      <c r="X382" s="204"/>
      <c r="Y382" s="204"/>
      <c r="Z382" s="204"/>
    </row>
    <row r="383" spans="21:26" ht="15.75" customHeight="1" x14ac:dyDescent="0.35">
      <c r="U383" s="204"/>
      <c r="V383" s="204"/>
      <c r="W383" s="204"/>
      <c r="X383" s="204"/>
      <c r="Y383" s="204"/>
      <c r="Z383" s="204"/>
    </row>
    <row r="384" spans="21:26" ht="15.75" customHeight="1" x14ac:dyDescent="0.35">
      <c r="U384" s="204"/>
      <c r="V384" s="204"/>
      <c r="W384" s="204"/>
      <c r="X384" s="204"/>
      <c r="Y384" s="204"/>
      <c r="Z384" s="204"/>
    </row>
    <row r="385" spans="21:26" ht="15.75" customHeight="1" x14ac:dyDescent="0.35">
      <c r="U385" s="204"/>
      <c r="V385" s="204"/>
      <c r="W385" s="204"/>
      <c r="X385" s="204"/>
      <c r="Y385" s="204"/>
      <c r="Z385" s="204"/>
    </row>
    <row r="386" spans="21:26" ht="15.75" customHeight="1" x14ac:dyDescent="0.35">
      <c r="U386" s="204"/>
      <c r="V386" s="204"/>
      <c r="W386" s="204"/>
      <c r="X386" s="204"/>
      <c r="Y386" s="204"/>
      <c r="Z386" s="204"/>
    </row>
    <row r="387" spans="21:26" ht="15.75" customHeight="1" x14ac:dyDescent="0.35">
      <c r="U387" s="204"/>
      <c r="V387" s="204"/>
      <c r="W387" s="204"/>
      <c r="X387" s="204"/>
      <c r="Y387" s="204"/>
      <c r="Z387" s="204"/>
    </row>
    <row r="388" spans="21:26" ht="15.75" customHeight="1" x14ac:dyDescent="0.35">
      <c r="U388" s="204"/>
      <c r="V388" s="204"/>
      <c r="W388" s="204"/>
      <c r="X388" s="204"/>
      <c r="Y388" s="204"/>
      <c r="Z388" s="204"/>
    </row>
    <row r="389" spans="21:26" ht="15.75" customHeight="1" x14ac:dyDescent="0.35">
      <c r="U389" s="204"/>
      <c r="V389" s="204"/>
      <c r="W389" s="204"/>
      <c r="X389" s="204"/>
      <c r="Y389" s="204"/>
      <c r="Z389" s="204"/>
    </row>
    <row r="390" spans="21:26" ht="15.75" customHeight="1" x14ac:dyDescent="0.35">
      <c r="U390" s="204"/>
      <c r="V390" s="204"/>
      <c r="W390" s="204"/>
      <c r="X390" s="204"/>
      <c r="Y390" s="204"/>
      <c r="Z390" s="204"/>
    </row>
    <row r="391" spans="21:26" ht="15.75" customHeight="1" x14ac:dyDescent="0.35">
      <c r="U391" s="204"/>
      <c r="V391" s="204"/>
      <c r="W391" s="204"/>
      <c r="X391" s="204"/>
      <c r="Y391" s="204"/>
      <c r="Z391" s="204"/>
    </row>
    <row r="392" spans="21:26" ht="15.75" customHeight="1" x14ac:dyDescent="0.35">
      <c r="U392" s="204"/>
      <c r="V392" s="204"/>
      <c r="W392" s="204"/>
      <c r="X392" s="204"/>
      <c r="Y392" s="204"/>
      <c r="Z392" s="204"/>
    </row>
    <row r="393" spans="21:26" ht="15.75" customHeight="1" x14ac:dyDescent="0.35">
      <c r="U393" s="204"/>
      <c r="V393" s="204"/>
      <c r="W393" s="204"/>
      <c r="X393" s="204"/>
      <c r="Y393" s="204"/>
      <c r="Z393" s="204"/>
    </row>
    <row r="394" spans="21:26" ht="15.75" customHeight="1" x14ac:dyDescent="0.35">
      <c r="U394" s="204"/>
      <c r="V394" s="204"/>
      <c r="W394" s="204"/>
      <c r="X394" s="204"/>
      <c r="Y394" s="204"/>
      <c r="Z394" s="204"/>
    </row>
    <row r="395" spans="21:26" ht="15.75" customHeight="1" x14ac:dyDescent="0.35">
      <c r="U395" s="204"/>
      <c r="V395" s="204"/>
      <c r="W395" s="204"/>
      <c r="X395" s="204"/>
      <c r="Y395" s="204"/>
      <c r="Z395" s="204"/>
    </row>
    <row r="396" spans="21:26" ht="15.75" customHeight="1" x14ac:dyDescent="0.35">
      <c r="U396" s="204"/>
      <c r="V396" s="204"/>
      <c r="W396" s="204"/>
      <c r="X396" s="204"/>
      <c r="Y396" s="204"/>
      <c r="Z396" s="204"/>
    </row>
    <row r="397" spans="21:26" ht="15.75" customHeight="1" x14ac:dyDescent="0.35">
      <c r="U397" s="204"/>
      <c r="V397" s="204"/>
      <c r="W397" s="204"/>
      <c r="X397" s="204"/>
      <c r="Y397" s="204"/>
      <c r="Z397" s="204"/>
    </row>
    <row r="398" spans="21:26" ht="15.75" customHeight="1" x14ac:dyDescent="0.35">
      <c r="U398" s="204"/>
      <c r="V398" s="204"/>
      <c r="W398" s="204"/>
      <c r="X398" s="204"/>
      <c r="Y398" s="204"/>
      <c r="Z398" s="204"/>
    </row>
    <row r="399" spans="21:26" ht="15.75" customHeight="1" x14ac:dyDescent="0.35">
      <c r="U399" s="204"/>
      <c r="V399" s="204"/>
      <c r="W399" s="204"/>
      <c r="X399" s="204"/>
      <c r="Y399" s="204"/>
      <c r="Z399" s="204"/>
    </row>
    <row r="400" spans="21:26" ht="15.75" customHeight="1" x14ac:dyDescent="0.35">
      <c r="U400" s="204"/>
      <c r="V400" s="204"/>
      <c r="W400" s="204"/>
      <c r="X400" s="204"/>
      <c r="Y400" s="204"/>
      <c r="Z400" s="204"/>
    </row>
    <row r="401" spans="21:26" ht="15.75" customHeight="1" x14ac:dyDescent="0.35">
      <c r="U401" s="204"/>
      <c r="V401" s="204"/>
      <c r="W401" s="204"/>
      <c r="X401" s="204"/>
      <c r="Y401" s="204"/>
      <c r="Z401" s="204"/>
    </row>
    <row r="402" spans="21:26" ht="15.75" customHeight="1" x14ac:dyDescent="0.35">
      <c r="U402" s="204"/>
      <c r="V402" s="204"/>
      <c r="W402" s="204"/>
      <c r="X402" s="204"/>
      <c r="Y402" s="204"/>
      <c r="Z402" s="204"/>
    </row>
    <row r="403" spans="21:26" ht="15.75" customHeight="1" x14ac:dyDescent="0.35">
      <c r="U403" s="204"/>
      <c r="V403" s="204"/>
      <c r="W403" s="204"/>
      <c r="X403" s="204"/>
      <c r="Y403" s="204"/>
      <c r="Z403" s="204"/>
    </row>
    <row r="404" spans="21:26" ht="15.75" customHeight="1" x14ac:dyDescent="0.35">
      <c r="U404" s="204"/>
      <c r="V404" s="204"/>
      <c r="W404" s="204"/>
      <c r="X404" s="204"/>
      <c r="Y404" s="204"/>
      <c r="Z404" s="204"/>
    </row>
    <row r="405" spans="21:26" ht="15.75" customHeight="1" x14ac:dyDescent="0.35">
      <c r="U405" s="204"/>
      <c r="V405" s="204"/>
      <c r="W405" s="204"/>
      <c r="X405" s="204"/>
      <c r="Y405" s="204"/>
      <c r="Z405" s="204"/>
    </row>
    <row r="406" spans="21:26" ht="15.75" customHeight="1" x14ac:dyDescent="0.35">
      <c r="U406" s="204"/>
      <c r="V406" s="204"/>
      <c r="W406" s="204"/>
      <c r="X406" s="204"/>
      <c r="Y406" s="204"/>
      <c r="Z406" s="204"/>
    </row>
    <row r="407" spans="21:26" ht="15.75" customHeight="1" x14ac:dyDescent="0.35">
      <c r="U407" s="204"/>
      <c r="V407" s="204"/>
      <c r="W407" s="204"/>
      <c r="X407" s="204"/>
      <c r="Y407" s="204"/>
      <c r="Z407" s="204"/>
    </row>
    <row r="408" spans="21:26" ht="15.75" customHeight="1" x14ac:dyDescent="0.35">
      <c r="U408" s="204"/>
      <c r="V408" s="204"/>
      <c r="W408" s="204"/>
      <c r="X408" s="204"/>
      <c r="Y408" s="204"/>
      <c r="Z408" s="204"/>
    </row>
    <row r="409" spans="21:26" ht="15.75" customHeight="1" x14ac:dyDescent="0.35">
      <c r="U409" s="204"/>
      <c r="V409" s="204"/>
      <c r="W409" s="204"/>
      <c r="X409" s="204"/>
      <c r="Y409" s="204"/>
      <c r="Z409" s="204"/>
    </row>
    <row r="410" spans="21:26" ht="15.75" customHeight="1" x14ac:dyDescent="0.35">
      <c r="U410" s="204"/>
      <c r="V410" s="204"/>
      <c r="W410" s="204"/>
      <c r="X410" s="204"/>
      <c r="Y410" s="204"/>
      <c r="Z410" s="204"/>
    </row>
    <row r="411" spans="21:26" ht="15.75" customHeight="1" x14ac:dyDescent="0.35">
      <c r="U411" s="204"/>
      <c r="V411" s="204"/>
      <c r="W411" s="204"/>
      <c r="X411" s="204"/>
      <c r="Y411" s="204"/>
      <c r="Z411" s="204"/>
    </row>
    <row r="412" spans="21:26" ht="15.75" customHeight="1" x14ac:dyDescent="0.35">
      <c r="U412" s="204"/>
      <c r="V412" s="204"/>
      <c r="W412" s="204"/>
      <c r="X412" s="204"/>
      <c r="Y412" s="204"/>
      <c r="Z412" s="204"/>
    </row>
    <row r="413" spans="21:26" ht="15.75" customHeight="1" x14ac:dyDescent="0.35">
      <c r="U413" s="204"/>
      <c r="V413" s="204"/>
      <c r="W413" s="204"/>
      <c r="X413" s="204"/>
      <c r="Y413" s="204"/>
      <c r="Z413" s="204"/>
    </row>
    <row r="414" spans="21:26" ht="15.75" customHeight="1" x14ac:dyDescent="0.35">
      <c r="U414" s="204"/>
      <c r="V414" s="204"/>
      <c r="W414" s="204"/>
      <c r="X414" s="204"/>
      <c r="Y414" s="204"/>
      <c r="Z414" s="204"/>
    </row>
    <row r="415" spans="21:26" ht="15.75" customHeight="1" x14ac:dyDescent="0.35">
      <c r="U415" s="204"/>
      <c r="V415" s="204"/>
      <c r="W415" s="204"/>
      <c r="X415" s="204"/>
      <c r="Y415" s="204"/>
      <c r="Z415" s="204"/>
    </row>
    <row r="416" spans="21:26" ht="15.75" customHeight="1" x14ac:dyDescent="0.35">
      <c r="U416" s="204"/>
      <c r="V416" s="204"/>
      <c r="W416" s="204"/>
      <c r="X416" s="204"/>
      <c r="Y416" s="204"/>
      <c r="Z416" s="204"/>
    </row>
    <row r="417" spans="21:26" ht="15.75" customHeight="1" x14ac:dyDescent="0.35">
      <c r="U417" s="204"/>
      <c r="V417" s="204"/>
      <c r="W417" s="204"/>
      <c r="X417" s="204"/>
      <c r="Y417" s="204"/>
      <c r="Z417" s="204"/>
    </row>
    <row r="418" spans="21:26" ht="15.75" customHeight="1" x14ac:dyDescent="0.35">
      <c r="U418" s="204"/>
      <c r="V418" s="204"/>
      <c r="W418" s="204"/>
      <c r="X418" s="204"/>
      <c r="Y418" s="204"/>
      <c r="Z418" s="204"/>
    </row>
    <row r="419" spans="21:26" ht="15.75" customHeight="1" x14ac:dyDescent="0.35">
      <c r="U419" s="204"/>
      <c r="V419" s="204"/>
      <c r="W419" s="204"/>
      <c r="X419" s="204"/>
      <c r="Y419" s="204"/>
      <c r="Z419" s="204"/>
    </row>
    <row r="420" spans="21:26" ht="15.75" customHeight="1" x14ac:dyDescent="0.35">
      <c r="U420" s="204"/>
      <c r="V420" s="204"/>
      <c r="W420" s="204"/>
      <c r="X420" s="204"/>
      <c r="Y420" s="204"/>
      <c r="Z420" s="204"/>
    </row>
    <row r="421" spans="21:26" ht="15.75" customHeight="1" x14ac:dyDescent="0.35">
      <c r="U421" s="204"/>
      <c r="V421" s="204"/>
      <c r="W421" s="204"/>
      <c r="X421" s="204"/>
      <c r="Y421" s="204"/>
      <c r="Z421" s="204"/>
    </row>
    <row r="422" spans="21:26" ht="15.75" customHeight="1" x14ac:dyDescent="0.35">
      <c r="U422" s="204"/>
      <c r="V422" s="204"/>
      <c r="W422" s="204"/>
      <c r="X422" s="204"/>
      <c r="Y422" s="204"/>
      <c r="Z422" s="204"/>
    </row>
    <row r="423" spans="21:26" ht="15.75" customHeight="1" x14ac:dyDescent="0.35">
      <c r="U423" s="204"/>
      <c r="V423" s="204"/>
      <c r="W423" s="204"/>
      <c r="X423" s="204"/>
      <c r="Y423" s="204"/>
      <c r="Z423" s="204"/>
    </row>
    <row r="424" spans="21:26" ht="15.75" customHeight="1" x14ac:dyDescent="0.35">
      <c r="U424" s="204"/>
      <c r="V424" s="204"/>
      <c r="W424" s="204"/>
      <c r="X424" s="204"/>
      <c r="Y424" s="204"/>
      <c r="Z424" s="204"/>
    </row>
    <row r="425" spans="21:26" ht="15.75" customHeight="1" x14ac:dyDescent="0.35">
      <c r="U425" s="204"/>
      <c r="V425" s="204"/>
      <c r="W425" s="204"/>
      <c r="X425" s="204"/>
      <c r="Y425" s="204"/>
      <c r="Z425" s="204"/>
    </row>
    <row r="426" spans="21:26" ht="15.75" customHeight="1" x14ac:dyDescent="0.35">
      <c r="U426" s="204"/>
      <c r="V426" s="204"/>
      <c r="W426" s="204"/>
      <c r="X426" s="204"/>
      <c r="Y426" s="204"/>
      <c r="Z426" s="204"/>
    </row>
    <row r="427" spans="21:26" ht="15.75" customHeight="1" x14ac:dyDescent="0.35">
      <c r="U427" s="204"/>
      <c r="V427" s="204"/>
      <c r="W427" s="204"/>
      <c r="X427" s="204"/>
      <c r="Y427" s="204"/>
      <c r="Z427" s="204"/>
    </row>
    <row r="428" spans="21:26" ht="15.75" customHeight="1" x14ac:dyDescent="0.35">
      <c r="U428" s="204"/>
      <c r="V428" s="204"/>
      <c r="W428" s="204"/>
      <c r="X428" s="204"/>
      <c r="Y428" s="204"/>
      <c r="Z428" s="204"/>
    </row>
    <row r="429" spans="21:26" ht="15.75" customHeight="1" x14ac:dyDescent="0.35">
      <c r="U429" s="204"/>
      <c r="V429" s="204"/>
      <c r="W429" s="204"/>
      <c r="X429" s="204"/>
      <c r="Y429" s="204"/>
      <c r="Z429" s="204"/>
    </row>
    <row r="430" spans="21:26" ht="15.75" customHeight="1" x14ac:dyDescent="0.35">
      <c r="U430" s="204"/>
      <c r="V430" s="204"/>
      <c r="W430" s="204"/>
      <c r="X430" s="204"/>
      <c r="Y430" s="204"/>
      <c r="Z430" s="204"/>
    </row>
    <row r="431" spans="21:26" ht="15.75" customHeight="1" x14ac:dyDescent="0.35">
      <c r="U431" s="204"/>
      <c r="V431" s="204"/>
      <c r="W431" s="204"/>
      <c r="X431" s="204"/>
      <c r="Y431" s="204"/>
      <c r="Z431" s="204"/>
    </row>
    <row r="432" spans="21:26" ht="15.75" customHeight="1" x14ac:dyDescent="0.35">
      <c r="U432" s="204"/>
      <c r="V432" s="204"/>
      <c r="W432" s="204"/>
      <c r="X432" s="204"/>
      <c r="Y432" s="204"/>
      <c r="Z432" s="204"/>
    </row>
    <row r="433" spans="21:26" ht="15.75" customHeight="1" x14ac:dyDescent="0.35">
      <c r="U433" s="204"/>
      <c r="V433" s="204"/>
      <c r="W433" s="204"/>
      <c r="X433" s="204"/>
      <c r="Y433" s="204"/>
      <c r="Z433" s="204"/>
    </row>
    <row r="434" spans="21:26" ht="15.75" customHeight="1" x14ac:dyDescent="0.35">
      <c r="U434" s="204"/>
      <c r="V434" s="204"/>
      <c r="W434" s="204"/>
      <c r="X434" s="204"/>
      <c r="Y434" s="204"/>
      <c r="Z434" s="204"/>
    </row>
    <row r="435" spans="21:26" ht="15.75" customHeight="1" x14ac:dyDescent="0.35">
      <c r="U435" s="204"/>
      <c r="V435" s="204"/>
      <c r="W435" s="204"/>
      <c r="X435" s="204"/>
      <c r="Y435" s="204"/>
      <c r="Z435" s="204"/>
    </row>
    <row r="436" spans="21:26" ht="15.75" customHeight="1" x14ac:dyDescent="0.35">
      <c r="U436" s="204"/>
      <c r="V436" s="204"/>
      <c r="W436" s="204"/>
      <c r="X436" s="204"/>
      <c r="Y436" s="204"/>
      <c r="Z436" s="204"/>
    </row>
    <row r="437" spans="21:26" ht="15.75" customHeight="1" x14ac:dyDescent="0.35">
      <c r="U437" s="204"/>
      <c r="V437" s="204"/>
      <c r="W437" s="204"/>
      <c r="X437" s="204"/>
      <c r="Y437" s="204"/>
      <c r="Z437" s="204"/>
    </row>
    <row r="438" spans="21:26" ht="15.75" customHeight="1" x14ac:dyDescent="0.35">
      <c r="U438" s="204"/>
      <c r="V438" s="204"/>
      <c r="W438" s="204"/>
      <c r="X438" s="204"/>
      <c r="Y438" s="204"/>
      <c r="Z438" s="204"/>
    </row>
    <row r="439" spans="21:26" ht="15.75" customHeight="1" x14ac:dyDescent="0.35">
      <c r="U439" s="204"/>
      <c r="V439" s="204"/>
      <c r="W439" s="204"/>
      <c r="X439" s="204"/>
      <c r="Y439" s="204"/>
      <c r="Z439" s="204"/>
    </row>
    <row r="440" spans="21:26" ht="15.75" customHeight="1" x14ac:dyDescent="0.35">
      <c r="U440" s="204"/>
      <c r="V440" s="204"/>
      <c r="W440" s="204"/>
      <c r="X440" s="204"/>
      <c r="Y440" s="204"/>
      <c r="Z440" s="204"/>
    </row>
    <row r="441" spans="21:26" ht="15.75" customHeight="1" x14ac:dyDescent="0.35">
      <c r="U441" s="204"/>
      <c r="V441" s="204"/>
      <c r="W441" s="204"/>
      <c r="X441" s="204"/>
      <c r="Y441" s="204"/>
      <c r="Z441" s="204"/>
    </row>
    <row r="442" spans="21:26" ht="15.75" customHeight="1" x14ac:dyDescent="0.35">
      <c r="U442" s="204"/>
      <c r="V442" s="204"/>
      <c r="W442" s="204"/>
      <c r="X442" s="204"/>
      <c r="Y442" s="204"/>
      <c r="Z442" s="204"/>
    </row>
    <row r="443" spans="21:26" ht="15.75" customHeight="1" x14ac:dyDescent="0.35">
      <c r="U443" s="204"/>
      <c r="V443" s="204"/>
      <c r="W443" s="204"/>
      <c r="X443" s="204"/>
      <c r="Y443" s="204"/>
      <c r="Z443" s="204"/>
    </row>
    <row r="444" spans="21:26" ht="15.75" customHeight="1" x14ac:dyDescent="0.35">
      <c r="U444" s="204"/>
      <c r="V444" s="204"/>
      <c r="W444" s="204"/>
      <c r="X444" s="204"/>
      <c r="Y444" s="204"/>
      <c r="Z444" s="204"/>
    </row>
    <row r="445" spans="21:26" ht="15.75" customHeight="1" x14ac:dyDescent="0.35">
      <c r="U445" s="204"/>
      <c r="V445" s="204"/>
      <c r="W445" s="204"/>
      <c r="X445" s="204"/>
      <c r="Y445" s="204"/>
      <c r="Z445" s="204"/>
    </row>
    <row r="446" spans="21:26" ht="15.75" customHeight="1" x14ac:dyDescent="0.35">
      <c r="U446" s="204"/>
      <c r="V446" s="204"/>
      <c r="W446" s="204"/>
      <c r="X446" s="204"/>
      <c r="Y446" s="204"/>
      <c r="Z446" s="204"/>
    </row>
    <row r="447" spans="21:26" ht="15.75" customHeight="1" x14ac:dyDescent="0.35">
      <c r="U447" s="204"/>
      <c r="V447" s="204"/>
      <c r="W447" s="204"/>
      <c r="X447" s="204"/>
      <c r="Y447" s="204"/>
      <c r="Z447" s="204"/>
    </row>
    <row r="448" spans="21:26" ht="15.75" customHeight="1" x14ac:dyDescent="0.35">
      <c r="U448" s="204"/>
      <c r="V448" s="204"/>
      <c r="W448" s="204"/>
      <c r="X448" s="204"/>
      <c r="Y448" s="204"/>
      <c r="Z448" s="204"/>
    </row>
    <row r="449" spans="21:26" ht="15.75" customHeight="1" x14ac:dyDescent="0.35">
      <c r="U449" s="204"/>
      <c r="V449" s="204"/>
      <c r="W449" s="204"/>
      <c r="X449" s="204"/>
      <c r="Y449" s="204"/>
      <c r="Z449" s="204"/>
    </row>
    <row r="450" spans="21:26" ht="15.75" customHeight="1" x14ac:dyDescent="0.35">
      <c r="U450" s="204"/>
      <c r="V450" s="204"/>
      <c r="W450" s="204"/>
      <c r="X450" s="204"/>
      <c r="Y450" s="204"/>
      <c r="Z450" s="204"/>
    </row>
    <row r="451" spans="21:26" ht="15.75" customHeight="1" x14ac:dyDescent="0.35">
      <c r="U451" s="204"/>
      <c r="V451" s="204"/>
      <c r="W451" s="204"/>
      <c r="X451" s="204"/>
      <c r="Y451" s="204"/>
      <c r="Z451" s="204"/>
    </row>
    <row r="452" spans="21:26" ht="15.75" customHeight="1" x14ac:dyDescent="0.35">
      <c r="U452" s="204"/>
      <c r="V452" s="204"/>
      <c r="W452" s="204"/>
      <c r="X452" s="204"/>
      <c r="Y452" s="204"/>
      <c r="Z452" s="204"/>
    </row>
    <row r="453" spans="21:26" ht="15.75" customHeight="1" x14ac:dyDescent="0.35">
      <c r="U453" s="204"/>
      <c r="V453" s="204"/>
      <c r="W453" s="204"/>
      <c r="X453" s="204"/>
      <c r="Y453" s="204"/>
      <c r="Z453" s="204"/>
    </row>
    <row r="454" spans="21:26" ht="15.75" customHeight="1" x14ac:dyDescent="0.35">
      <c r="U454" s="204"/>
      <c r="V454" s="204"/>
      <c r="W454" s="204"/>
      <c r="X454" s="204"/>
      <c r="Y454" s="204"/>
      <c r="Z454" s="204"/>
    </row>
    <row r="455" spans="21:26" ht="15.75" customHeight="1" x14ac:dyDescent="0.35">
      <c r="U455" s="204"/>
      <c r="V455" s="204"/>
      <c r="W455" s="204"/>
      <c r="X455" s="204"/>
      <c r="Y455" s="204"/>
      <c r="Z455" s="204"/>
    </row>
    <row r="456" spans="21:26" ht="15.75" customHeight="1" x14ac:dyDescent="0.35">
      <c r="U456" s="204"/>
      <c r="V456" s="204"/>
      <c r="W456" s="204"/>
      <c r="X456" s="204"/>
      <c r="Y456" s="204"/>
      <c r="Z456" s="204"/>
    </row>
    <row r="457" spans="21:26" ht="15.75" customHeight="1" x14ac:dyDescent="0.35">
      <c r="U457" s="204"/>
      <c r="V457" s="204"/>
      <c r="W457" s="204"/>
      <c r="X457" s="204"/>
      <c r="Y457" s="204"/>
      <c r="Z457" s="204"/>
    </row>
    <row r="458" spans="21:26" ht="15.75" customHeight="1" x14ac:dyDescent="0.35">
      <c r="U458" s="204"/>
      <c r="V458" s="204"/>
      <c r="W458" s="204"/>
      <c r="X458" s="204"/>
      <c r="Y458" s="204"/>
      <c r="Z458" s="204"/>
    </row>
    <row r="459" spans="21:26" ht="15.75" customHeight="1" x14ac:dyDescent="0.35">
      <c r="U459" s="204"/>
      <c r="V459" s="204"/>
      <c r="W459" s="204"/>
      <c r="X459" s="204"/>
      <c r="Y459" s="204"/>
      <c r="Z459" s="204"/>
    </row>
    <row r="460" spans="21:26" ht="15.75" customHeight="1" x14ac:dyDescent="0.35">
      <c r="U460" s="204"/>
      <c r="V460" s="204"/>
      <c r="W460" s="204"/>
      <c r="X460" s="204"/>
      <c r="Y460" s="204"/>
      <c r="Z460" s="204"/>
    </row>
    <row r="461" spans="21:26" ht="15.75" customHeight="1" x14ac:dyDescent="0.35">
      <c r="U461" s="204"/>
      <c r="V461" s="204"/>
      <c r="W461" s="204"/>
      <c r="X461" s="204"/>
      <c r="Y461" s="204"/>
      <c r="Z461" s="204"/>
    </row>
    <row r="462" spans="21:26" ht="15.75" customHeight="1" x14ac:dyDescent="0.35">
      <c r="U462" s="204"/>
      <c r="V462" s="204"/>
      <c r="W462" s="204"/>
      <c r="X462" s="204"/>
      <c r="Y462" s="204"/>
      <c r="Z462" s="204"/>
    </row>
    <row r="463" spans="21:26" ht="15.75" customHeight="1" x14ac:dyDescent="0.35">
      <c r="U463" s="204"/>
      <c r="V463" s="204"/>
      <c r="W463" s="204"/>
      <c r="X463" s="204"/>
      <c r="Y463" s="204"/>
      <c r="Z463" s="204"/>
    </row>
    <row r="464" spans="21:26" ht="15.75" customHeight="1" x14ac:dyDescent="0.35">
      <c r="U464" s="204"/>
      <c r="V464" s="204"/>
      <c r="W464" s="204"/>
      <c r="X464" s="204"/>
      <c r="Y464" s="204"/>
      <c r="Z464" s="204"/>
    </row>
    <row r="465" spans="21:26" ht="15.75" customHeight="1" x14ac:dyDescent="0.35">
      <c r="U465" s="204"/>
      <c r="V465" s="204"/>
      <c r="W465" s="204"/>
      <c r="X465" s="204"/>
      <c r="Y465" s="204"/>
      <c r="Z465" s="204"/>
    </row>
    <row r="466" spans="21:26" ht="15.75" customHeight="1" x14ac:dyDescent="0.35">
      <c r="U466" s="204"/>
      <c r="V466" s="204"/>
      <c r="W466" s="204"/>
      <c r="X466" s="204"/>
      <c r="Y466" s="204"/>
      <c r="Z466" s="204"/>
    </row>
    <row r="467" spans="21:26" ht="15.75" customHeight="1" x14ac:dyDescent="0.35">
      <c r="U467" s="204"/>
      <c r="V467" s="204"/>
      <c r="W467" s="204"/>
      <c r="X467" s="204"/>
      <c r="Y467" s="204"/>
      <c r="Z467" s="204"/>
    </row>
    <row r="468" spans="21:26" ht="15.75" customHeight="1" x14ac:dyDescent="0.35">
      <c r="U468" s="204"/>
      <c r="V468" s="204"/>
      <c r="W468" s="204"/>
      <c r="X468" s="204"/>
      <c r="Y468" s="204"/>
      <c r="Z468" s="204"/>
    </row>
    <row r="469" spans="21:26" ht="15.75" customHeight="1" x14ac:dyDescent="0.35">
      <c r="U469" s="204"/>
      <c r="V469" s="204"/>
      <c r="W469" s="204"/>
      <c r="X469" s="204"/>
      <c r="Y469" s="204"/>
      <c r="Z469" s="204"/>
    </row>
    <row r="470" spans="21:26" ht="15.75" customHeight="1" x14ac:dyDescent="0.35">
      <c r="U470" s="204"/>
      <c r="V470" s="204"/>
      <c r="W470" s="204"/>
      <c r="X470" s="204"/>
      <c r="Y470" s="204"/>
      <c r="Z470" s="204"/>
    </row>
    <row r="471" spans="21:26" ht="15.75" customHeight="1" x14ac:dyDescent="0.35">
      <c r="U471" s="204"/>
      <c r="V471" s="204"/>
      <c r="W471" s="204"/>
      <c r="X471" s="204"/>
      <c r="Y471" s="204"/>
      <c r="Z471" s="204"/>
    </row>
    <row r="472" spans="21:26" ht="15.75" customHeight="1" x14ac:dyDescent="0.35">
      <c r="U472" s="204"/>
      <c r="V472" s="204"/>
      <c r="W472" s="204"/>
      <c r="X472" s="204"/>
      <c r="Y472" s="204"/>
      <c r="Z472" s="204"/>
    </row>
    <row r="473" spans="21:26" ht="15.75" customHeight="1" x14ac:dyDescent="0.35">
      <c r="U473" s="204"/>
      <c r="V473" s="204"/>
      <c r="W473" s="204"/>
      <c r="X473" s="204"/>
      <c r="Y473" s="204"/>
      <c r="Z473" s="204"/>
    </row>
    <row r="474" spans="21:26" ht="15.75" customHeight="1" x14ac:dyDescent="0.35">
      <c r="U474" s="204"/>
      <c r="V474" s="204"/>
      <c r="W474" s="204"/>
      <c r="X474" s="204"/>
      <c r="Y474" s="204"/>
      <c r="Z474" s="204"/>
    </row>
    <row r="475" spans="21:26" ht="15.75" customHeight="1" x14ac:dyDescent="0.35">
      <c r="U475" s="204"/>
      <c r="V475" s="204"/>
      <c r="W475" s="204"/>
      <c r="X475" s="204"/>
      <c r="Y475" s="204"/>
      <c r="Z475" s="204"/>
    </row>
    <row r="476" spans="21:26" ht="15.75" customHeight="1" x14ac:dyDescent="0.35">
      <c r="U476" s="204"/>
      <c r="V476" s="204"/>
      <c r="W476" s="204"/>
      <c r="X476" s="204"/>
      <c r="Y476" s="204"/>
      <c r="Z476" s="204"/>
    </row>
    <row r="477" spans="21:26" ht="15.75" customHeight="1" x14ac:dyDescent="0.35">
      <c r="U477" s="204"/>
      <c r="V477" s="204"/>
      <c r="W477" s="204"/>
      <c r="X477" s="204"/>
      <c r="Y477" s="204"/>
      <c r="Z477" s="204"/>
    </row>
    <row r="478" spans="21:26" ht="15.75" customHeight="1" x14ac:dyDescent="0.35">
      <c r="U478" s="204"/>
      <c r="V478" s="204"/>
      <c r="W478" s="204"/>
      <c r="X478" s="204"/>
      <c r="Y478" s="204"/>
      <c r="Z478" s="204"/>
    </row>
    <row r="479" spans="21:26" ht="15.75" customHeight="1" x14ac:dyDescent="0.35">
      <c r="U479" s="204"/>
      <c r="V479" s="204"/>
      <c r="W479" s="204"/>
      <c r="X479" s="204"/>
      <c r="Y479" s="204"/>
      <c r="Z479" s="204"/>
    </row>
    <row r="480" spans="21:26" ht="15.75" customHeight="1" x14ac:dyDescent="0.35">
      <c r="U480" s="204"/>
      <c r="V480" s="204"/>
      <c r="W480" s="204"/>
      <c r="X480" s="204"/>
      <c r="Y480" s="204"/>
      <c r="Z480" s="204"/>
    </row>
    <row r="481" spans="21:26" ht="15.75" customHeight="1" x14ac:dyDescent="0.35">
      <c r="U481" s="204"/>
      <c r="V481" s="204"/>
      <c r="W481" s="204"/>
      <c r="X481" s="204"/>
      <c r="Y481" s="204"/>
      <c r="Z481" s="204"/>
    </row>
    <row r="482" spans="21:26" ht="15.75" customHeight="1" x14ac:dyDescent="0.35">
      <c r="U482" s="204"/>
      <c r="V482" s="204"/>
      <c r="W482" s="204"/>
      <c r="X482" s="204"/>
      <c r="Y482" s="204"/>
      <c r="Z482" s="204"/>
    </row>
    <row r="483" spans="21:26" ht="15.75" customHeight="1" x14ac:dyDescent="0.35">
      <c r="U483" s="204"/>
      <c r="V483" s="204"/>
      <c r="W483" s="204"/>
      <c r="X483" s="204"/>
      <c r="Y483" s="204"/>
      <c r="Z483" s="204"/>
    </row>
    <row r="484" spans="21:26" ht="15.75" customHeight="1" x14ac:dyDescent="0.35">
      <c r="U484" s="204"/>
      <c r="V484" s="204"/>
      <c r="W484" s="204"/>
      <c r="X484" s="204"/>
      <c r="Y484" s="204"/>
      <c r="Z484" s="204"/>
    </row>
    <row r="485" spans="21:26" ht="15.75" customHeight="1" x14ac:dyDescent="0.35">
      <c r="U485" s="204"/>
      <c r="V485" s="204"/>
      <c r="W485" s="204"/>
      <c r="X485" s="204"/>
      <c r="Y485" s="204"/>
      <c r="Z485" s="204"/>
    </row>
    <row r="486" spans="21:26" ht="15.75" customHeight="1" x14ac:dyDescent="0.35">
      <c r="U486" s="204"/>
      <c r="V486" s="204"/>
      <c r="W486" s="204"/>
      <c r="X486" s="204"/>
      <c r="Y486" s="204"/>
      <c r="Z486" s="204"/>
    </row>
    <row r="487" spans="21:26" ht="15.75" customHeight="1" x14ac:dyDescent="0.35">
      <c r="U487" s="204"/>
      <c r="V487" s="204"/>
      <c r="W487" s="204"/>
      <c r="X487" s="204"/>
      <c r="Y487" s="204"/>
      <c r="Z487" s="204"/>
    </row>
    <row r="488" spans="21:26" ht="15.75" customHeight="1" x14ac:dyDescent="0.35">
      <c r="U488" s="204"/>
      <c r="V488" s="204"/>
      <c r="W488" s="204"/>
      <c r="X488" s="204"/>
      <c r="Y488" s="204"/>
      <c r="Z488" s="204"/>
    </row>
    <row r="489" spans="21:26" ht="15.75" customHeight="1" x14ac:dyDescent="0.35">
      <c r="U489" s="204"/>
      <c r="V489" s="204"/>
      <c r="W489" s="204"/>
      <c r="X489" s="204"/>
      <c r="Y489" s="204"/>
      <c r="Z489" s="204"/>
    </row>
    <row r="490" spans="21:26" ht="15.75" customHeight="1" x14ac:dyDescent="0.35">
      <c r="U490" s="204"/>
      <c r="V490" s="204"/>
      <c r="W490" s="204"/>
      <c r="X490" s="204"/>
      <c r="Y490" s="204"/>
      <c r="Z490" s="204"/>
    </row>
    <row r="491" spans="21:26" ht="15.75" customHeight="1" x14ac:dyDescent="0.35">
      <c r="U491" s="204"/>
      <c r="V491" s="204"/>
      <c r="W491" s="204"/>
      <c r="X491" s="204"/>
      <c r="Y491" s="204"/>
      <c r="Z491" s="204"/>
    </row>
    <row r="492" spans="21:26" ht="15.75" customHeight="1" x14ac:dyDescent="0.35">
      <c r="U492" s="204"/>
      <c r="V492" s="204"/>
      <c r="W492" s="204"/>
      <c r="X492" s="204"/>
      <c r="Y492" s="204"/>
      <c r="Z492" s="204"/>
    </row>
    <row r="493" spans="21:26" ht="15.75" customHeight="1" x14ac:dyDescent="0.35">
      <c r="U493" s="204"/>
      <c r="V493" s="204"/>
      <c r="W493" s="204"/>
      <c r="X493" s="204"/>
      <c r="Y493" s="204"/>
      <c r="Z493" s="204"/>
    </row>
    <row r="494" spans="21:26" ht="15.75" customHeight="1" x14ac:dyDescent="0.35">
      <c r="U494" s="204"/>
      <c r="V494" s="204"/>
      <c r="W494" s="204"/>
      <c r="X494" s="204"/>
      <c r="Y494" s="204"/>
      <c r="Z494" s="204"/>
    </row>
    <row r="495" spans="21:26" ht="15.75" customHeight="1" x14ac:dyDescent="0.35">
      <c r="U495" s="204"/>
      <c r="V495" s="204"/>
      <c r="W495" s="204"/>
      <c r="X495" s="204"/>
      <c r="Y495" s="204"/>
      <c r="Z495" s="204"/>
    </row>
    <row r="496" spans="21:26" ht="15.75" customHeight="1" x14ac:dyDescent="0.35">
      <c r="U496" s="204"/>
      <c r="V496" s="204"/>
      <c r="W496" s="204"/>
      <c r="X496" s="204"/>
      <c r="Y496" s="204"/>
      <c r="Z496" s="204"/>
    </row>
    <row r="497" spans="21:26" ht="15.75" customHeight="1" x14ac:dyDescent="0.35">
      <c r="U497" s="204"/>
      <c r="V497" s="204"/>
      <c r="W497" s="204"/>
      <c r="X497" s="204"/>
      <c r="Y497" s="204"/>
      <c r="Z497" s="204"/>
    </row>
    <row r="498" spans="21:26" ht="15.75" customHeight="1" x14ac:dyDescent="0.35">
      <c r="U498" s="204"/>
      <c r="V498" s="204"/>
      <c r="W498" s="204"/>
      <c r="X498" s="204"/>
      <c r="Y498" s="204"/>
      <c r="Z498" s="204"/>
    </row>
    <row r="499" spans="21:26" ht="15.75" customHeight="1" x14ac:dyDescent="0.35">
      <c r="U499" s="204"/>
      <c r="V499" s="204"/>
      <c r="W499" s="204"/>
      <c r="X499" s="204"/>
      <c r="Y499" s="204"/>
      <c r="Z499" s="204"/>
    </row>
    <row r="500" spans="21:26" ht="15.75" customHeight="1" x14ac:dyDescent="0.35">
      <c r="U500" s="204"/>
      <c r="V500" s="204"/>
      <c r="W500" s="204"/>
      <c r="X500" s="204"/>
      <c r="Y500" s="204"/>
      <c r="Z500" s="204"/>
    </row>
    <row r="501" spans="21:26" ht="15.75" customHeight="1" x14ac:dyDescent="0.35">
      <c r="U501" s="204"/>
      <c r="V501" s="204"/>
      <c r="W501" s="204"/>
      <c r="X501" s="204"/>
      <c r="Y501" s="204"/>
      <c r="Z501" s="204"/>
    </row>
    <row r="502" spans="21:26" ht="15.75" customHeight="1" x14ac:dyDescent="0.35">
      <c r="U502" s="204"/>
      <c r="V502" s="204"/>
      <c r="W502" s="204"/>
      <c r="X502" s="204"/>
      <c r="Y502" s="204"/>
      <c r="Z502" s="204"/>
    </row>
    <row r="503" spans="21:26" ht="15.75" customHeight="1" x14ac:dyDescent="0.35">
      <c r="U503" s="204"/>
      <c r="V503" s="204"/>
      <c r="W503" s="204"/>
      <c r="X503" s="204"/>
      <c r="Y503" s="204"/>
      <c r="Z503" s="204"/>
    </row>
    <row r="504" spans="21:26" ht="15.75" customHeight="1" x14ac:dyDescent="0.35">
      <c r="U504" s="204"/>
      <c r="V504" s="204"/>
      <c r="W504" s="204"/>
      <c r="X504" s="204"/>
      <c r="Y504" s="204"/>
      <c r="Z504" s="204"/>
    </row>
    <row r="505" spans="21:26" ht="15.75" customHeight="1" x14ac:dyDescent="0.35">
      <c r="U505" s="204"/>
      <c r="V505" s="204"/>
      <c r="W505" s="204"/>
      <c r="X505" s="204"/>
      <c r="Y505" s="204"/>
      <c r="Z505" s="204"/>
    </row>
    <row r="506" spans="21:26" ht="15.75" customHeight="1" x14ac:dyDescent="0.35">
      <c r="U506" s="204"/>
      <c r="V506" s="204"/>
      <c r="W506" s="204"/>
      <c r="X506" s="204"/>
      <c r="Y506" s="204"/>
      <c r="Z506" s="204"/>
    </row>
    <row r="507" spans="21:26" ht="15.75" customHeight="1" x14ac:dyDescent="0.35">
      <c r="U507" s="204"/>
      <c r="V507" s="204"/>
      <c r="W507" s="204"/>
      <c r="X507" s="204"/>
      <c r="Y507" s="204"/>
      <c r="Z507" s="204"/>
    </row>
    <row r="508" spans="21:26" ht="15.75" customHeight="1" x14ac:dyDescent="0.35">
      <c r="U508" s="204"/>
      <c r="V508" s="204"/>
      <c r="W508" s="204"/>
      <c r="X508" s="204"/>
      <c r="Y508" s="204"/>
      <c r="Z508" s="204"/>
    </row>
    <row r="509" spans="21:26" ht="15.75" customHeight="1" x14ac:dyDescent="0.35">
      <c r="U509" s="204"/>
      <c r="V509" s="204"/>
      <c r="W509" s="204"/>
      <c r="X509" s="204"/>
      <c r="Y509" s="204"/>
      <c r="Z509" s="204"/>
    </row>
    <row r="510" spans="21:26" ht="15.75" customHeight="1" x14ac:dyDescent="0.35">
      <c r="U510" s="204"/>
      <c r="V510" s="204"/>
      <c r="W510" s="204"/>
      <c r="X510" s="204"/>
      <c r="Y510" s="204"/>
      <c r="Z510" s="204"/>
    </row>
    <row r="511" spans="21:26" ht="15.75" customHeight="1" x14ac:dyDescent="0.35">
      <c r="U511" s="204"/>
      <c r="V511" s="204"/>
      <c r="W511" s="204"/>
      <c r="X511" s="204"/>
      <c r="Y511" s="204"/>
      <c r="Z511" s="204"/>
    </row>
    <row r="512" spans="21:26" ht="15.75" customHeight="1" x14ac:dyDescent="0.35">
      <c r="U512" s="204"/>
      <c r="V512" s="204"/>
      <c r="W512" s="204"/>
      <c r="X512" s="204"/>
      <c r="Y512" s="204"/>
      <c r="Z512" s="204"/>
    </row>
    <row r="513" spans="21:26" ht="15.75" customHeight="1" x14ac:dyDescent="0.35">
      <c r="U513" s="204"/>
      <c r="V513" s="204"/>
      <c r="W513" s="204"/>
      <c r="X513" s="204"/>
      <c r="Y513" s="204"/>
      <c r="Z513" s="204"/>
    </row>
    <row r="514" spans="21:26" ht="15.75" customHeight="1" x14ac:dyDescent="0.35">
      <c r="U514" s="204"/>
      <c r="V514" s="204"/>
      <c r="W514" s="204"/>
      <c r="X514" s="204"/>
      <c r="Y514" s="204"/>
      <c r="Z514" s="204"/>
    </row>
    <row r="515" spans="21:26" ht="15.75" customHeight="1" x14ac:dyDescent="0.35">
      <c r="U515" s="204"/>
      <c r="V515" s="204"/>
      <c r="W515" s="204"/>
      <c r="X515" s="204"/>
      <c r="Y515" s="204"/>
      <c r="Z515" s="204"/>
    </row>
    <row r="516" spans="21:26" ht="15.75" customHeight="1" x14ac:dyDescent="0.35">
      <c r="U516" s="204"/>
      <c r="V516" s="204"/>
      <c r="W516" s="204"/>
      <c r="X516" s="204"/>
      <c r="Y516" s="204"/>
      <c r="Z516" s="204"/>
    </row>
    <row r="517" spans="21:26" ht="15.75" customHeight="1" x14ac:dyDescent="0.35">
      <c r="U517" s="204"/>
      <c r="V517" s="204"/>
      <c r="W517" s="204"/>
      <c r="X517" s="204"/>
      <c r="Y517" s="204"/>
      <c r="Z517" s="204"/>
    </row>
    <row r="518" spans="21:26" ht="15.75" customHeight="1" x14ac:dyDescent="0.35">
      <c r="U518" s="204"/>
      <c r="V518" s="204"/>
      <c r="W518" s="204"/>
      <c r="X518" s="204"/>
      <c r="Y518" s="204"/>
      <c r="Z518" s="204"/>
    </row>
    <row r="519" spans="21:26" ht="15.75" customHeight="1" x14ac:dyDescent="0.35">
      <c r="U519" s="204"/>
      <c r="V519" s="204"/>
      <c r="W519" s="204"/>
      <c r="X519" s="204"/>
      <c r="Y519" s="204"/>
      <c r="Z519" s="204"/>
    </row>
    <row r="520" spans="21:26" ht="15.75" customHeight="1" x14ac:dyDescent="0.35">
      <c r="U520" s="204"/>
      <c r="V520" s="204"/>
      <c r="W520" s="204"/>
      <c r="X520" s="204"/>
      <c r="Y520" s="204"/>
      <c r="Z520" s="204"/>
    </row>
    <row r="521" spans="21:26" ht="15.75" customHeight="1" x14ac:dyDescent="0.35">
      <c r="U521" s="204"/>
      <c r="V521" s="204"/>
      <c r="W521" s="204"/>
      <c r="X521" s="204"/>
      <c r="Y521" s="204"/>
      <c r="Z521" s="204"/>
    </row>
    <row r="522" spans="21:26" ht="15.75" customHeight="1" x14ac:dyDescent="0.35">
      <c r="U522" s="204"/>
      <c r="V522" s="204"/>
      <c r="W522" s="204"/>
      <c r="X522" s="204"/>
      <c r="Y522" s="204"/>
      <c r="Z522" s="204"/>
    </row>
    <row r="523" spans="21:26" ht="15.75" customHeight="1" x14ac:dyDescent="0.35">
      <c r="U523" s="204"/>
      <c r="V523" s="204"/>
      <c r="W523" s="204"/>
      <c r="X523" s="204"/>
      <c r="Y523" s="204"/>
      <c r="Z523" s="204"/>
    </row>
    <row r="524" spans="21:26" ht="15.75" customHeight="1" x14ac:dyDescent="0.35">
      <c r="U524" s="204"/>
      <c r="V524" s="204"/>
      <c r="W524" s="204"/>
      <c r="X524" s="204"/>
      <c r="Y524" s="204"/>
      <c r="Z524" s="204"/>
    </row>
    <row r="525" spans="21:26" ht="15.75" customHeight="1" x14ac:dyDescent="0.35">
      <c r="U525" s="204"/>
      <c r="V525" s="204"/>
      <c r="W525" s="204"/>
      <c r="X525" s="204"/>
      <c r="Y525" s="204"/>
      <c r="Z525" s="204"/>
    </row>
    <row r="526" spans="21:26" ht="15.75" customHeight="1" x14ac:dyDescent="0.35">
      <c r="U526" s="204"/>
      <c r="V526" s="204"/>
      <c r="W526" s="204"/>
      <c r="X526" s="204"/>
      <c r="Y526" s="204"/>
      <c r="Z526" s="204"/>
    </row>
    <row r="527" spans="21:26" ht="15.75" customHeight="1" x14ac:dyDescent="0.35">
      <c r="U527" s="204"/>
      <c r="V527" s="204"/>
      <c r="W527" s="204"/>
      <c r="X527" s="204"/>
      <c r="Y527" s="204"/>
      <c r="Z527" s="204"/>
    </row>
    <row r="528" spans="21:26" ht="15.75" customHeight="1" x14ac:dyDescent="0.35">
      <c r="U528" s="204"/>
      <c r="V528" s="204"/>
      <c r="W528" s="204"/>
      <c r="X528" s="204"/>
      <c r="Y528" s="204"/>
      <c r="Z528" s="204"/>
    </row>
    <row r="529" spans="21:26" ht="15.75" customHeight="1" x14ac:dyDescent="0.35">
      <c r="U529" s="204"/>
      <c r="V529" s="204"/>
      <c r="W529" s="204"/>
      <c r="X529" s="204"/>
      <c r="Y529" s="204"/>
      <c r="Z529" s="204"/>
    </row>
    <row r="530" spans="21:26" ht="15.75" customHeight="1" x14ac:dyDescent="0.35">
      <c r="U530" s="204"/>
      <c r="V530" s="204"/>
      <c r="W530" s="204"/>
      <c r="X530" s="204"/>
      <c r="Y530" s="204"/>
      <c r="Z530" s="204"/>
    </row>
    <row r="531" spans="21:26" ht="15.75" customHeight="1" x14ac:dyDescent="0.35">
      <c r="U531" s="204"/>
      <c r="V531" s="204"/>
      <c r="W531" s="204"/>
      <c r="X531" s="204"/>
      <c r="Y531" s="204"/>
      <c r="Z531" s="204"/>
    </row>
    <row r="532" spans="21:26" ht="15.75" customHeight="1" x14ac:dyDescent="0.35">
      <c r="U532" s="204"/>
      <c r="V532" s="204"/>
      <c r="W532" s="204"/>
      <c r="X532" s="204"/>
      <c r="Y532" s="204"/>
      <c r="Z532" s="204"/>
    </row>
    <row r="533" spans="21:26" ht="15.75" customHeight="1" x14ac:dyDescent="0.35">
      <c r="U533" s="204"/>
      <c r="V533" s="204"/>
      <c r="W533" s="204"/>
      <c r="X533" s="204"/>
      <c r="Y533" s="204"/>
      <c r="Z533" s="204"/>
    </row>
    <row r="534" spans="21:26" ht="15.75" customHeight="1" x14ac:dyDescent="0.35">
      <c r="U534" s="204"/>
      <c r="V534" s="204"/>
      <c r="W534" s="204"/>
      <c r="X534" s="204"/>
      <c r="Y534" s="204"/>
      <c r="Z534" s="204"/>
    </row>
    <row r="535" spans="21:26" ht="15.75" customHeight="1" x14ac:dyDescent="0.35">
      <c r="U535" s="204"/>
      <c r="V535" s="204"/>
      <c r="W535" s="204"/>
      <c r="X535" s="204"/>
      <c r="Y535" s="204"/>
      <c r="Z535" s="204"/>
    </row>
    <row r="536" spans="21:26" ht="15.75" customHeight="1" x14ac:dyDescent="0.35">
      <c r="U536" s="204"/>
      <c r="V536" s="204"/>
      <c r="W536" s="204"/>
      <c r="X536" s="204"/>
      <c r="Y536" s="204"/>
      <c r="Z536" s="204"/>
    </row>
    <row r="537" spans="21:26" ht="15.75" customHeight="1" x14ac:dyDescent="0.35">
      <c r="U537" s="204"/>
      <c r="V537" s="204"/>
      <c r="W537" s="204"/>
      <c r="X537" s="204"/>
      <c r="Y537" s="204"/>
      <c r="Z537" s="204"/>
    </row>
    <row r="538" spans="21:26" ht="15.75" customHeight="1" x14ac:dyDescent="0.35">
      <c r="U538" s="204"/>
      <c r="V538" s="204"/>
      <c r="W538" s="204"/>
      <c r="X538" s="204"/>
      <c r="Y538" s="204"/>
      <c r="Z538" s="204"/>
    </row>
    <row r="539" spans="21:26" ht="15.75" customHeight="1" x14ac:dyDescent="0.35">
      <c r="U539" s="204"/>
      <c r="V539" s="204"/>
      <c r="W539" s="204"/>
      <c r="X539" s="204"/>
      <c r="Y539" s="204"/>
      <c r="Z539" s="204"/>
    </row>
    <row r="540" spans="21:26" ht="15.75" customHeight="1" x14ac:dyDescent="0.35">
      <c r="U540" s="204"/>
      <c r="V540" s="204"/>
      <c r="W540" s="204"/>
      <c r="X540" s="204"/>
      <c r="Y540" s="204"/>
      <c r="Z540" s="204"/>
    </row>
    <row r="541" spans="21:26" ht="15.75" customHeight="1" x14ac:dyDescent="0.35">
      <c r="U541" s="204"/>
      <c r="V541" s="204"/>
      <c r="W541" s="204"/>
      <c r="X541" s="204"/>
      <c r="Y541" s="204"/>
      <c r="Z541" s="204"/>
    </row>
    <row r="542" spans="21:26" ht="15.75" customHeight="1" x14ac:dyDescent="0.35">
      <c r="U542" s="204"/>
      <c r="V542" s="204"/>
      <c r="W542" s="204"/>
      <c r="X542" s="204"/>
      <c r="Y542" s="204"/>
      <c r="Z542" s="204"/>
    </row>
    <row r="543" spans="21:26" ht="15.75" customHeight="1" x14ac:dyDescent="0.35">
      <c r="U543" s="204"/>
      <c r="V543" s="204"/>
      <c r="W543" s="204"/>
      <c r="X543" s="204"/>
      <c r="Y543" s="204"/>
      <c r="Z543" s="204"/>
    </row>
    <row r="544" spans="21:26" ht="15.75" customHeight="1" x14ac:dyDescent="0.35">
      <c r="U544" s="204"/>
      <c r="V544" s="204"/>
      <c r="W544" s="204"/>
      <c r="X544" s="204"/>
      <c r="Y544" s="204"/>
      <c r="Z544" s="204"/>
    </row>
    <row r="545" spans="21:26" ht="15.75" customHeight="1" x14ac:dyDescent="0.35">
      <c r="U545" s="204"/>
      <c r="V545" s="204"/>
      <c r="W545" s="204"/>
      <c r="X545" s="204"/>
      <c r="Y545" s="204"/>
      <c r="Z545" s="204"/>
    </row>
    <row r="546" spans="21:26" ht="15.75" customHeight="1" x14ac:dyDescent="0.35">
      <c r="U546" s="204"/>
      <c r="V546" s="204"/>
      <c r="W546" s="204"/>
      <c r="X546" s="204"/>
      <c r="Y546" s="204"/>
      <c r="Z546" s="204"/>
    </row>
    <row r="547" spans="21:26" ht="15.75" customHeight="1" x14ac:dyDescent="0.35">
      <c r="U547" s="204"/>
      <c r="V547" s="204"/>
      <c r="W547" s="204"/>
      <c r="X547" s="204"/>
      <c r="Y547" s="204"/>
      <c r="Z547" s="204"/>
    </row>
    <row r="548" spans="21:26" ht="15.75" customHeight="1" x14ac:dyDescent="0.35">
      <c r="U548" s="204"/>
      <c r="V548" s="204"/>
      <c r="W548" s="204"/>
      <c r="X548" s="204"/>
      <c r="Y548" s="204"/>
      <c r="Z548" s="204"/>
    </row>
    <row r="549" spans="21:26" ht="15.75" customHeight="1" x14ac:dyDescent="0.35">
      <c r="U549" s="204"/>
      <c r="V549" s="204"/>
      <c r="W549" s="204"/>
      <c r="X549" s="204"/>
      <c r="Y549" s="204"/>
      <c r="Z549" s="204"/>
    </row>
    <row r="550" spans="21:26" ht="15.75" customHeight="1" x14ac:dyDescent="0.35">
      <c r="U550" s="204"/>
      <c r="V550" s="204"/>
      <c r="W550" s="204"/>
      <c r="X550" s="204"/>
      <c r="Y550" s="204"/>
      <c r="Z550" s="204"/>
    </row>
    <row r="551" spans="21:26" ht="15.75" customHeight="1" x14ac:dyDescent="0.35">
      <c r="U551" s="204"/>
      <c r="V551" s="204"/>
      <c r="W551" s="204"/>
      <c r="X551" s="204"/>
      <c r="Y551" s="204"/>
      <c r="Z551" s="204"/>
    </row>
    <row r="552" spans="21:26" ht="15.75" customHeight="1" x14ac:dyDescent="0.35">
      <c r="U552" s="204"/>
      <c r="V552" s="204"/>
      <c r="W552" s="204"/>
      <c r="X552" s="204"/>
      <c r="Y552" s="204"/>
      <c r="Z552" s="204"/>
    </row>
    <row r="553" spans="21:26" ht="15.75" customHeight="1" x14ac:dyDescent="0.35">
      <c r="U553" s="204"/>
      <c r="V553" s="204"/>
      <c r="W553" s="204"/>
      <c r="X553" s="204"/>
      <c r="Y553" s="204"/>
      <c r="Z553" s="204"/>
    </row>
    <row r="554" spans="21:26" ht="15.75" customHeight="1" x14ac:dyDescent="0.35">
      <c r="U554" s="204"/>
      <c r="V554" s="204"/>
      <c r="W554" s="204"/>
      <c r="X554" s="204"/>
      <c r="Y554" s="204"/>
      <c r="Z554" s="204"/>
    </row>
    <row r="555" spans="21:26" ht="15.75" customHeight="1" x14ac:dyDescent="0.35">
      <c r="U555" s="204"/>
      <c r="V555" s="204"/>
      <c r="W555" s="204"/>
      <c r="X555" s="204"/>
      <c r="Y555" s="204"/>
      <c r="Z555" s="204"/>
    </row>
    <row r="556" spans="21:26" ht="15.75" customHeight="1" x14ac:dyDescent="0.35">
      <c r="U556" s="204"/>
      <c r="V556" s="204"/>
      <c r="W556" s="204"/>
      <c r="X556" s="204"/>
      <c r="Y556" s="204"/>
      <c r="Z556" s="204"/>
    </row>
    <row r="557" spans="21:26" ht="15.75" customHeight="1" x14ac:dyDescent="0.35">
      <c r="U557" s="204"/>
      <c r="V557" s="204"/>
      <c r="W557" s="204"/>
      <c r="X557" s="204"/>
      <c r="Y557" s="204"/>
      <c r="Z557" s="204"/>
    </row>
    <row r="558" spans="21:26" ht="15.75" customHeight="1" x14ac:dyDescent="0.35">
      <c r="U558" s="204"/>
      <c r="V558" s="204"/>
      <c r="W558" s="204"/>
      <c r="X558" s="204"/>
      <c r="Y558" s="204"/>
      <c r="Z558" s="204"/>
    </row>
    <row r="559" spans="21:26" ht="15.75" customHeight="1" x14ac:dyDescent="0.35">
      <c r="U559" s="204"/>
      <c r="V559" s="204"/>
      <c r="W559" s="204"/>
      <c r="X559" s="204"/>
      <c r="Y559" s="204"/>
      <c r="Z559" s="204"/>
    </row>
    <row r="560" spans="21:26" ht="15.75" customHeight="1" x14ac:dyDescent="0.35">
      <c r="U560" s="204"/>
      <c r="V560" s="204"/>
      <c r="W560" s="204"/>
      <c r="X560" s="204"/>
      <c r="Y560" s="204"/>
      <c r="Z560" s="204"/>
    </row>
    <row r="561" spans="21:26" ht="15.75" customHeight="1" x14ac:dyDescent="0.35">
      <c r="U561" s="204"/>
      <c r="V561" s="204"/>
      <c r="W561" s="204"/>
      <c r="X561" s="204"/>
      <c r="Y561" s="204"/>
      <c r="Z561" s="204"/>
    </row>
    <row r="562" spans="21:26" ht="15.75" customHeight="1" x14ac:dyDescent="0.35">
      <c r="U562" s="204"/>
      <c r="V562" s="204"/>
      <c r="W562" s="204"/>
      <c r="X562" s="204"/>
      <c r="Y562" s="204"/>
      <c r="Z562" s="204"/>
    </row>
    <row r="563" spans="21:26" ht="15.75" customHeight="1" x14ac:dyDescent="0.35">
      <c r="U563" s="204"/>
      <c r="V563" s="204"/>
      <c r="W563" s="204"/>
      <c r="X563" s="204"/>
      <c r="Y563" s="204"/>
      <c r="Z563" s="204"/>
    </row>
    <row r="564" spans="21:26" ht="15.75" customHeight="1" x14ac:dyDescent="0.35">
      <c r="U564" s="204"/>
      <c r="V564" s="204"/>
      <c r="W564" s="204"/>
      <c r="X564" s="204"/>
      <c r="Y564" s="204"/>
      <c r="Z564" s="204"/>
    </row>
    <row r="565" spans="21:26" ht="15.75" customHeight="1" x14ac:dyDescent="0.35">
      <c r="U565" s="204"/>
      <c r="V565" s="204"/>
      <c r="W565" s="204"/>
      <c r="X565" s="204"/>
      <c r="Y565" s="204"/>
      <c r="Z565" s="204"/>
    </row>
    <row r="566" spans="21:26" ht="15.75" customHeight="1" x14ac:dyDescent="0.35">
      <c r="U566" s="204"/>
      <c r="V566" s="204"/>
      <c r="W566" s="204"/>
      <c r="X566" s="204"/>
      <c r="Y566" s="204"/>
      <c r="Z566" s="204"/>
    </row>
    <row r="567" spans="21:26" ht="15.75" customHeight="1" x14ac:dyDescent="0.35">
      <c r="U567" s="204"/>
      <c r="V567" s="204"/>
      <c r="W567" s="204"/>
      <c r="X567" s="204"/>
      <c r="Y567" s="204"/>
      <c r="Z567" s="204"/>
    </row>
    <row r="568" spans="21:26" ht="15.75" customHeight="1" x14ac:dyDescent="0.35">
      <c r="U568" s="204"/>
      <c r="V568" s="204"/>
      <c r="W568" s="204"/>
      <c r="X568" s="204"/>
      <c r="Y568" s="204"/>
      <c r="Z568" s="204"/>
    </row>
    <row r="569" spans="21:26" ht="15.75" customHeight="1" x14ac:dyDescent="0.35">
      <c r="U569" s="204"/>
      <c r="V569" s="204"/>
      <c r="W569" s="204"/>
      <c r="X569" s="204"/>
      <c r="Y569" s="204"/>
      <c r="Z569" s="204"/>
    </row>
    <row r="570" spans="21:26" ht="15.75" customHeight="1" x14ac:dyDescent="0.35">
      <c r="U570" s="204"/>
      <c r="V570" s="204"/>
      <c r="W570" s="204"/>
      <c r="X570" s="204"/>
      <c r="Y570" s="204"/>
      <c r="Z570" s="204"/>
    </row>
    <row r="571" spans="21:26" ht="15.75" customHeight="1" x14ac:dyDescent="0.35">
      <c r="U571" s="204"/>
      <c r="V571" s="204"/>
      <c r="W571" s="204"/>
      <c r="X571" s="204"/>
      <c r="Y571" s="204"/>
      <c r="Z571" s="204"/>
    </row>
    <row r="572" spans="21:26" ht="15.75" customHeight="1" x14ac:dyDescent="0.35">
      <c r="U572" s="204"/>
      <c r="V572" s="204"/>
      <c r="W572" s="204"/>
      <c r="X572" s="204"/>
      <c r="Y572" s="204"/>
      <c r="Z572" s="204"/>
    </row>
    <row r="573" spans="21:26" ht="15.75" customHeight="1" x14ac:dyDescent="0.35">
      <c r="U573" s="204"/>
      <c r="V573" s="204"/>
      <c r="W573" s="204"/>
      <c r="X573" s="204"/>
      <c r="Y573" s="204"/>
      <c r="Z573" s="204"/>
    </row>
    <row r="574" spans="21:26" ht="15.75" customHeight="1" x14ac:dyDescent="0.35">
      <c r="U574" s="204"/>
      <c r="V574" s="204"/>
      <c r="W574" s="204"/>
      <c r="X574" s="204"/>
      <c r="Y574" s="204"/>
      <c r="Z574" s="204"/>
    </row>
    <row r="575" spans="21:26" ht="15.75" customHeight="1" x14ac:dyDescent="0.35">
      <c r="U575" s="204"/>
      <c r="V575" s="204"/>
      <c r="W575" s="204"/>
      <c r="X575" s="204"/>
      <c r="Y575" s="204"/>
      <c r="Z575" s="204"/>
    </row>
    <row r="576" spans="21:26" ht="15.75" customHeight="1" x14ac:dyDescent="0.35">
      <c r="U576" s="204"/>
      <c r="V576" s="204"/>
      <c r="W576" s="204"/>
      <c r="X576" s="204"/>
      <c r="Y576" s="204"/>
      <c r="Z576" s="204"/>
    </row>
    <row r="577" spans="21:26" ht="15.75" customHeight="1" x14ac:dyDescent="0.35">
      <c r="U577" s="204"/>
      <c r="V577" s="204"/>
      <c r="W577" s="204"/>
      <c r="X577" s="204"/>
      <c r="Y577" s="204"/>
      <c r="Z577" s="204"/>
    </row>
    <row r="578" spans="21:26" ht="15.75" customHeight="1" x14ac:dyDescent="0.35">
      <c r="U578" s="204"/>
      <c r="V578" s="204"/>
      <c r="W578" s="204"/>
      <c r="X578" s="204"/>
      <c r="Y578" s="204"/>
      <c r="Z578" s="204"/>
    </row>
    <row r="579" spans="21:26" ht="15.75" customHeight="1" x14ac:dyDescent="0.35">
      <c r="U579" s="204"/>
      <c r="V579" s="204"/>
      <c r="W579" s="204"/>
      <c r="X579" s="204"/>
      <c r="Y579" s="204"/>
      <c r="Z579" s="204"/>
    </row>
    <row r="580" spans="21:26" ht="15.75" customHeight="1" x14ac:dyDescent="0.35">
      <c r="U580" s="204"/>
      <c r="V580" s="204"/>
      <c r="W580" s="204"/>
      <c r="X580" s="204"/>
      <c r="Y580" s="204"/>
      <c r="Z580" s="204"/>
    </row>
    <row r="581" spans="21:26" ht="15.75" customHeight="1" x14ac:dyDescent="0.35">
      <c r="U581" s="204"/>
      <c r="V581" s="204"/>
      <c r="W581" s="204"/>
      <c r="X581" s="204"/>
      <c r="Y581" s="204"/>
      <c r="Z581" s="204"/>
    </row>
    <row r="582" spans="21:26" ht="15.75" customHeight="1" x14ac:dyDescent="0.35">
      <c r="U582" s="204"/>
      <c r="V582" s="204"/>
      <c r="W582" s="204"/>
      <c r="X582" s="204"/>
      <c r="Y582" s="204"/>
      <c r="Z582" s="204"/>
    </row>
    <row r="583" spans="21:26" ht="15.75" customHeight="1" x14ac:dyDescent="0.35">
      <c r="U583" s="204"/>
      <c r="V583" s="204"/>
      <c r="W583" s="204"/>
      <c r="X583" s="204"/>
      <c r="Y583" s="204"/>
      <c r="Z583" s="204"/>
    </row>
    <row r="584" spans="21:26" ht="15.75" customHeight="1" x14ac:dyDescent="0.35">
      <c r="U584" s="204"/>
      <c r="V584" s="204"/>
      <c r="W584" s="204"/>
      <c r="X584" s="204"/>
      <c r="Y584" s="204"/>
      <c r="Z584" s="204"/>
    </row>
    <row r="585" spans="21:26" ht="15.75" customHeight="1" x14ac:dyDescent="0.35">
      <c r="U585" s="204"/>
      <c r="V585" s="204"/>
      <c r="W585" s="204"/>
      <c r="X585" s="204"/>
      <c r="Y585" s="204"/>
      <c r="Z585" s="204"/>
    </row>
    <row r="586" spans="21:26" ht="15.75" customHeight="1" x14ac:dyDescent="0.35">
      <c r="U586" s="204"/>
      <c r="V586" s="204"/>
      <c r="W586" s="204"/>
      <c r="X586" s="204"/>
      <c r="Y586" s="204"/>
      <c r="Z586" s="204"/>
    </row>
    <row r="587" spans="21:26" ht="15.75" customHeight="1" x14ac:dyDescent="0.35">
      <c r="U587" s="204"/>
      <c r="V587" s="204"/>
      <c r="W587" s="204"/>
      <c r="X587" s="204"/>
      <c r="Y587" s="204"/>
      <c r="Z587" s="204"/>
    </row>
    <row r="588" spans="21:26" ht="15.75" customHeight="1" x14ac:dyDescent="0.35">
      <c r="U588" s="204"/>
      <c r="V588" s="204"/>
      <c r="W588" s="204"/>
      <c r="X588" s="204"/>
      <c r="Y588" s="204"/>
      <c r="Z588" s="204"/>
    </row>
    <row r="589" spans="21:26" ht="15.75" customHeight="1" x14ac:dyDescent="0.35">
      <c r="U589" s="204"/>
      <c r="V589" s="204"/>
      <c r="W589" s="204"/>
      <c r="X589" s="204"/>
      <c r="Y589" s="204"/>
      <c r="Z589" s="204"/>
    </row>
    <row r="590" spans="21:26" ht="15.75" customHeight="1" x14ac:dyDescent="0.35">
      <c r="U590" s="204"/>
      <c r="V590" s="204"/>
      <c r="W590" s="204"/>
      <c r="X590" s="204"/>
      <c r="Y590" s="204"/>
      <c r="Z590" s="204"/>
    </row>
    <row r="591" spans="21:26" ht="15.75" customHeight="1" x14ac:dyDescent="0.35">
      <c r="U591" s="204"/>
      <c r="V591" s="204"/>
      <c r="W591" s="204"/>
      <c r="X591" s="204"/>
      <c r="Y591" s="204"/>
      <c r="Z591" s="204"/>
    </row>
    <row r="592" spans="21:26" ht="15.75" customHeight="1" x14ac:dyDescent="0.35">
      <c r="U592" s="204"/>
      <c r="V592" s="204"/>
      <c r="W592" s="204"/>
      <c r="X592" s="204"/>
      <c r="Y592" s="204"/>
      <c r="Z592" s="204"/>
    </row>
    <row r="593" spans="21:26" ht="15.75" customHeight="1" x14ac:dyDescent="0.35">
      <c r="U593" s="204"/>
      <c r="V593" s="204"/>
      <c r="W593" s="204"/>
      <c r="X593" s="204"/>
      <c r="Y593" s="204"/>
      <c r="Z593" s="204"/>
    </row>
    <row r="594" spans="21:26" ht="15.75" customHeight="1" x14ac:dyDescent="0.35">
      <c r="U594" s="204"/>
      <c r="V594" s="204"/>
      <c r="W594" s="204"/>
      <c r="X594" s="204"/>
      <c r="Y594" s="204"/>
      <c r="Z594" s="204"/>
    </row>
    <row r="595" spans="21:26" ht="15.75" customHeight="1" x14ac:dyDescent="0.35">
      <c r="U595" s="204"/>
      <c r="V595" s="204"/>
      <c r="W595" s="204"/>
      <c r="X595" s="204"/>
      <c r="Y595" s="204"/>
      <c r="Z595" s="204"/>
    </row>
    <row r="596" spans="21:26" ht="15.75" customHeight="1" x14ac:dyDescent="0.35">
      <c r="U596" s="204"/>
      <c r="V596" s="204"/>
      <c r="W596" s="204"/>
      <c r="X596" s="204"/>
      <c r="Y596" s="204"/>
      <c r="Z596" s="204"/>
    </row>
    <row r="597" spans="21:26" ht="15.75" customHeight="1" x14ac:dyDescent="0.35">
      <c r="U597" s="204"/>
      <c r="V597" s="204"/>
      <c r="W597" s="204"/>
      <c r="X597" s="204"/>
      <c r="Y597" s="204"/>
      <c r="Z597" s="204"/>
    </row>
    <row r="598" spans="21:26" ht="15.75" customHeight="1" x14ac:dyDescent="0.35">
      <c r="U598" s="204"/>
      <c r="V598" s="204"/>
      <c r="W598" s="204"/>
      <c r="X598" s="204"/>
      <c r="Y598" s="204"/>
      <c r="Z598" s="204"/>
    </row>
    <row r="599" spans="21:26" ht="15.75" customHeight="1" x14ac:dyDescent="0.35">
      <c r="U599" s="204"/>
      <c r="V599" s="204"/>
      <c r="W599" s="204"/>
      <c r="X599" s="204"/>
      <c r="Y599" s="204"/>
      <c r="Z599" s="204"/>
    </row>
    <row r="600" spans="21:26" ht="15.75" customHeight="1" x14ac:dyDescent="0.35">
      <c r="U600" s="204"/>
      <c r="V600" s="204"/>
      <c r="W600" s="204"/>
      <c r="X600" s="204"/>
      <c r="Y600" s="204"/>
      <c r="Z600" s="204"/>
    </row>
    <row r="601" spans="21:26" ht="15.75" customHeight="1" x14ac:dyDescent="0.35">
      <c r="U601" s="204"/>
      <c r="V601" s="204"/>
      <c r="W601" s="204"/>
      <c r="X601" s="204"/>
      <c r="Y601" s="204"/>
      <c r="Z601" s="204"/>
    </row>
    <row r="602" spans="21:26" ht="15.75" customHeight="1" x14ac:dyDescent="0.35">
      <c r="U602" s="204"/>
      <c r="V602" s="204"/>
      <c r="W602" s="204"/>
      <c r="X602" s="204"/>
      <c r="Y602" s="204"/>
      <c r="Z602" s="204"/>
    </row>
    <row r="603" spans="21:26" ht="15.75" customHeight="1" x14ac:dyDescent="0.35">
      <c r="U603" s="204"/>
      <c r="V603" s="204"/>
      <c r="W603" s="204"/>
      <c r="X603" s="204"/>
      <c r="Y603" s="204"/>
      <c r="Z603" s="204"/>
    </row>
    <row r="604" spans="21:26" ht="15.75" customHeight="1" x14ac:dyDescent="0.35">
      <c r="U604" s="204"/>
      <c r="V604" s="204"/>
      <c r="W604" s="204"/>
      <c r="X604" s="204"/>
      <c r="Y604" s="204"/>
      <c r="Z604" s="204"/>
    </row>
    <row r="605" spans="21:26" ht="15.75" customHeight="1" x14ac:dyDescent="0.35">
      <c r="U605" s="204"/>
      <c r="V605" s="204"/>
      <c r="W605" s="204"/>
      <c r="X605" s="204"/>
      <c r="Y605" s="204"/>
      <c r="Z605" s="204"/>
    </row>
    <row r="606" spans="21:26" ht="15.75" customHeight="1" x14ac:dyDescent="0.35">
      <c r="U606" s="204"/>
      <c r="V606" s="204"/>
      <c r="W606" s="204"/>
      <c r="X606" s="204"/>
      <c r="Y606" s="204"/>
      <c r="Z606" s="204"/>
    </row>
    <row r="607" spans="21:26" ht="15.75" customHeight="1" x14ac:dyDescent="0.35">
      <c r="U607" s="204"/>
      <c r="V607" s="204"/>
      <c r="W607" s="204"/>
      <c r="X607" s="204"/>
      <c r="Y607" s="204"/>
      <c r="Z607" s="204"/>
    </row>
    <row r="608" spans="21:26" ht="15.75" customHeight="1" x14ac:dyDescent="0.35">
      <c r="U608" s="204"/>
      <c r="V608" s="204"/>
      <c r="W608" s="204"/>
      <c r="X608" s="204"/>
      <c r="Y608" s="204"/>
      <c r="Z608" s="204"/>
    </row>
    <row r="609" spans="21:26" ht="15.75" customHeight="1" x14ac:dyDescent="0.35">
      <c r="U609" s="204"/>
      <c r="V609" s="204"/>
      <c r="W609" s="204"/>
      <c r="X609" s="204"/>
      <c r="Y609" s="204"/>
      <c r="Z609" s="204"/>
    </row>
    <row r="610" spans="21:26" ht="15.75" customHeight="1" x14ac:dyDescent="0.35">
      <c r="U610" s="204"/>
      <c r="V610" s="204"/>
      <c r="W610" s="204"/>
      <c r="X610" s="204"/>
      <c r="Y610" s="204"/>
      <c r="Z610" s="204"/>
    </row>
    <row r="611" spans="21:26" ht="15.75" customHeight="1" x14ac:dyDescent="0.35">
      <c r="U611" s="204"/>
      <c r="V611" s="204"/>
      <c r="W611" s="204"/>
      <c r="X611" s="204"/>
      <c r="Y611" s="204"/>
      <c r="Z611" s="204"/>
    </row>
    <row r="612" spans="21:26" ht="15.75" customHeight="1" x14ac:dyDescent="0.35">
      <c r="U612" s="204"/>
      <c r="V612" s="204"/>
      <c r="W612" s="204"/>
      <c r="X612" s="204"/>
      <c r="Y612" s="204"/>
      <c r="Z612" s="204"/>
    </row>
    <row r="613" spans="21:26" ht="15.75" customHeight="1" x14ac:dyDescent="0.35">
      <c r="U613" s="204"/>
      <c r="V613" s="204"/>
      <c r="W613" s="204"/>
      <c r="X613" s="204"/>
      <c r="Y613" s="204"/>
      <c r="Z613" s="204"/>
    </row>
    <row r="614" spans="21:26" ht="15.75" customHeight="1" x14ac:dyDescent="0.35">
      <c r="U614" s="204"/>
      <c r="V614" s="204"/>
      <c r="W614" s="204"/>
      <c r="X614" s="204"/>
      <c r="Y614" s="204"/>
      <c r="Z614" s="204"/>
    </row>
    <row r="615" spans="21:26" ht="15.75" customHeight="1" x14ac:dyDescent="0.35">
      <c r="U615" s="204"/>
      <c r="V615" s="204"/>
      <c r="W615" s="204"/>
      <c r="X615" s="204"/>
      <c r="Y615" s="204"/>
      <c r="Z615" s="204"/>
    </row>
    <row r="616" spans="21:26" ht="15.75" customHeight="1" x14ac:dyDescent="0.35">
      <c r="U616" s="204"/>
      <c r="V616" s="204"/>
      <c r="W616" s="204"/>
      <c r="X616" s="204"/>
      <c r="Y616" s="204"/>
      <c r="Z616" s="204"/>
    </row>
    <row r="617" spans="21:26" ht="15.75" customHeight="1" x14ac:dyDescent="0.35">
      <c r="U617" s="204"/>
      <c r="V617" s="204"/>
      <c r="W617" s="204"/>
      <c r="X617" s="204"/>
      <c r="Y617" s="204"/>
      <c r="Z617" s="204"/>
    </row>
    <row r="618" spans="21:26" ht="15.75" customHeight="1" x14ac:dyDescent="0.35">
      <c r="U618" s="204"/>
      <c r="V618" s="204"/>
      <c r="W618" s="204"/>
      <c r="X618" s="204"/>
      <c r="Y618" s="204"/>
      <c r="Z618" s="204"/>
    </row>
    <row r="619" spans="21:26" ht="15.75" customHeight="1" x14ac:dyDescent="0.35">
      <c r="U619" s="204"/>
      <c r="V619" s="204"/>
      <c r="W619" s="204"/>
      <c r="X619" s="204"/>
      <c r="Y619" s="204"/>
      <c r="Z619" s="204"/>
    </row>
    <row r="620" spans="21:26" ht="15.75" customHeight="1" x14ac:dyDescent="0.35">
      <c r="U620" s="204"/>
      <c r="V620" s="204"/>
      <c r="W620" s="204"/>
      <c r="X620" s="204"/>
      <c r="Y620" s="204"/>
      <c r="Z620" s="204"/>
    </row>
    <row r="621" spans="21:26" ht="15.75" customHeight="1" x14ac:dyDescent="0.35">
      <c r="U621" s="204"/>
      <c r="V621" s="204"/>
      <c r="W621" s="204"/>
      <c r="X621" s="204"/>
      <c r="Y621" s="204"/>
      <c r="Z621" s="204"/>
    </row>
    <row r="622" spans="21:26" ht="15.75" customHeight="1" x14ac:dyDescent="0.35">
      <c r="U622" s="204"/>
      <c r="V622" s="204"/>
      <c r="W622" s="204"/>
      <c r="X622" s="204"/>
      <c r="Y622" s="204"/>
      <c r="Z622" s="204"/>
    </row>
    <row r="623" spans="21:26" ht="15.75" customHeight="1" x14ac:dyDescent="0.35">
      <c r="U623" s="204"/>
      <c r="V623" s="204"/>
      <c r="W623" s="204"/>
      <c r="X623" s="204"/>
      <c r="Y623" s="204"/>
      <c r="Z623" s="204"/>
    </row>
    <row r="624" spans="21:26" ht="15.75" customHeight="1" x14ac:dyDescent="0.35">
      <c r="U624" s="204"/>
      <c r="V624" s="204"/>
      <c r="W624" s="204"/>
      <c r="X624" s="204"/>
      <c r="Y624" s="204"/>
      <c r="Z624" s="204"/>
    </row>
    <row r="625" spans="21:26" ht="15.75" customHeight="1" x14ac:dyDescent="0.35">
      <c r="U625" s="204"/>
      <c r="V625" s="204"/>
      <c r="W625" s="204"/>
      <c r="X625" s="204"/>
      <c r="Y625" s="204"/>
      <c r="Z625" s="204"/>
    </row>
    <row r="626" spans="21:26" ht="15.75" customHeight="1" x14ac:dyDescent="0.35">
      <c r="U626" s="204"/>
      <c r="V626" s="204"/>
      <c r="W626" s="204"/>
      <c r="X626" s="204"/>
      <c r="Y626" s="204"/>
      <c r="Z626" s="204"/>
    </row>
    <row r="627" spans="21:26" ht="15.75" customHeight="1" x14ac:dyDescent="0.35">
      <c r="U627" s="204"/>
      <c r="V627" s="204"/>
      <c r="W627" s="204"/>
      <c r="X627" s="204"/>
      <c r="Y627" s="204"/>
      <c r="Z627" s="204"/>
    </row>
    <row r="628" spans="21:26" ht="15.75" customHeight="1" x14ac:dyDescent="0.35">
      <c r="U628" s="204"/>
      <c r="V628" s="204"/>
      <c r="W628" s="204"/>
      <c r="X628" s="204"/>
      <c r="Y628" s="204"/>
      <c r="Z628" s="204"/>
    </row>
    <row r="629" spans="21:26" ht="15.75" customHeight="1" x14ac:dyDescent="0.35">
      <c r="U629" s="204"/>
      <c r="V629" s="204"/>
      <c r="W629" s="204"/>
      <c r="X629" s="204"/>
      <c r="Y629" s="204"/>
      <c r="Z629" s="204"/>
    </row>
    <row r="630" spans="21:26" ht="15.75" customHeight="1" x14ac:dyDescent="0.35">
      <c r="U630" s="204"/>
      <c r="V630" s="204"/>
      <c r="W630" s="204"/>
      <c r="X630" s="204"/>
      <c r="Y630" s="204"/>
      <c r="Z630" s="204"/>
    </row>
    <row r="631" spans="21:26" ht="15.75" customHeight="1" x14ac:dyDescent="0.35">
      <c r="U631" s="204"/>
      <c r="V631" s="204"/>
      <c r="W631" s="204"/>
      <c r="X631" s="204"/>
      <c r="Y631" s="204"/>
      <c r="Z631" s="204"/>
    </row>
    <row r="632" spans="21:26" ht="15.75" customHeight="1" x14ac:dyDescent="0.35">
      <c r="U632" s="204"/>
      <c r="V632" s="204"/>
      <c r="W632" s="204"/>
      <c r="X632" s="204"/>
      <c r="Y632" s="204"/>
      <c r="Z632" s="204"/>
    </row>
    <row r="633" spans="21:26" ht="15.75" customHeight="1" x14ac:dyDescent="0.35">
      <c r="U633" s="204"/>
      <c r="V633" s="204"/>
      <c r="W633" s="204"/>
      <c r="X633" s="204"/>
      <c r="Y633" s="204"/>
      <c r="Z633" s="204"/>
    </row>
    <row r="634" spans="21:26" ht="15.75" customHeight="1" x14ac:dyDescent="0.35">
      <c r="U634" s="204"/>
      <c r="V634" s="204"/>
      <c r="W634" s="204"/>
      <c r="X634" s="204"/>
      <c r="Y634" s="204"/>
      <c r="Z634" s="204"/>
    </row>
    <row r="635" spans="21:26" ht="15.75" customHeight="1" x14ac:dyDescent="0.35">
      <c r="U635" s="204"/>
      <c r="V635" s="204"/>
      <c r="W635" s="204"/>
      <c r="X635" s="204"/>
      <c r="Y635" s="204"/>
      <c r="Z635" s="204"/>
    </row>
    <row r="636" spans="21:26" ht="15.75" customHeight="1" x14ac:dyDescent="0.35">
      <c r="U636" s="204"/>
      <c r="V636" s="204"/>
      <c r="W636" s="204"/>
      <c r="X636" s="204"/>
      <c r="Y636" s="204"/>
      <c r="Z636" s="204"/>
    </row>
    <row r="637" spans="21:26" ht="15.75" customHeight="1" x14ac:dyDescent="0.35">
      <c r="U637" s="204"/>
      <c r="V637" s="204"/>
      <c r="W637" s="204"/>
      <c r="X637" s="204"/>
      <c r="Y637" s="204"/>
      <c r="Z637" s="204"/>
    </row>
    <row r="638" spans="21:26" ht="15.75" customHeight="1" x14ac:dyDescent="0.35">
      <c r="U638" s="204"/>
      <c r="V638" s="204"/>
      <c r="W638" s="204"/>
      <c r="X638" s="204"/>
      <c r="Y638" s="204"/>
      <c r="Z638" s="204"/>
    </row>
    <row r="639" spans="21:26" ht="15.75" customHeight="1" x14ac:dyDescent="0.35">
      <c r="U639" s="204"/>
      <c r="V639" s="204"/>
      <c r="W639" s="204"/>
      <c r="X639" s="204"/>
      <c r="Y639" s="204"/>
      <c r="Z639" s="204"/>
    </row>
    <row r="640" spans="21:26" ht="15.75" customHeight="1" x14ac:dyDescent="0.35">
      <c r="U640" s="204"/>
      <c r="V640" s="204"/>
      <c r="W640" s="204"/>
      <c r="X640" s="204"/>
      <c r="Y640" s="204"/>
      <c r="Z640" s="204"/>
    </row>
    <row r="641" spans="21:26" ht="15.75" customHeight="1" x14ac:dyDescent="0.35">
      <c r="U641" s="204"/>
      <c r="V641" s="204"/>
      <c r="W641" s="204"/>
      <c r="X641" s="204"/>
      <c r="Y641" s="204"/>
      <c r="Z641" s="204"/>
    </row>
    <row r="642" spans="21:26" ht="15.75" customHeight="1" x14ac:dyDescent="0.35">
      <c r="U642" s="204"/>
      <c r="V642" s="204"/>
      <c r="W642" s="204"/>
      <c r="X642" s="204"/>
      <c r="Y642" s="204"/>
      <c r="Z642" s="204"/>
    </row>
    <row r="643" spans="21:26" ht="15.75" customHeight="1" x14ac:dyDescent="0.35">
      <c r="U643" s="204"/>
      <c r="V643" s="204"/>
      <c r="W643" s="204"/>
      <c r="X643" s="204"/>
      <c r="Y643" s="204"/>
      <c r="Z643" s="204"/>
    </row>
    <row r="644" spans="21:26" ht="15.75" customHeight="1" x14ac:dyDescent="0.35">
      <c r="U644" s="204"/>
      <c r="V644" s="204"/>
      <c r="W644" s="204"/>
      <c r="X644" s="204"/>
      <c r="Y644" s="204"/>
      <c r="Z644" s="204"/>
    </row>
    <row r="645" spans="21:26" ht="15.75" customHeight="1" x14ac:dyDescent="0.35">
      <c r="U645" s="204"/>
      <c r="V645" s="204"/>
      <c r="W645" s="204"/>
      <c r="X645" s="204"/>
      <c r="Y645" s="204"/>
      <c r="Z645" s="204"/>
    </row>
    <row r="646" spans="21:26" ht="15.75" customHeight="1" x14ac:dyDescent="0.35">
      <c r="U646" s="204"/>
      <c r="V646" s="204"/>
      <c r="W646" s="204"/>
      <c r="X646" s="204"/>
      <c r="Y646" s="204"/>
      <c r="Z646" s="204"/>
    </row>
    <row r="647" spans="21:26" ht="15.75" customHeight="1" x14ac:dyDescent="0.35">
      <c r="U647" s="204"/>
      <c r="V647" s="204"/>
      <c r="W647" s="204"/>
      <c r="X647" s="204"/>
      <c r="Y647" s="204"/>
      <c r="Z647" s="204"/>
    </row>
    <row r="648" spans="21:26" ht="15.75" customHeight="1" x14ac:dyDescent="0.35">
      <c r="U648" s="204"/>
      <c r="V648" s="204"/>
      <c r="W648" s="204"/>
      <c r="X648" s="204"/>
      <c r="Y648" s="204"/>
      <c r="Z648" s="204"/>
    </row>
    <row r="649" spans="21:26" ht="15.75" customHeight="1" x14ac:dyDescent="0.35">
      <c r="U649" s="204"/>
      <c r="V649" s="204"/>
      <c r="W649" s="204"/>
      <c r="X649" s="204"/>
      <c r="Y649" s="204"/>
      <c r="Z649" s="204"/>
    </row>
    <row r="650" spans="21:26" ht="15.75" customHeight="1" x14ac:dyDescent="0.35">
      <c r="U650" s="204"/>
      <c r="V650" s="204"/>
      <c r="W650" s="204"/>
      <c r="X650" s="204"/>
      <c r="Y650" s="204"/>
      <c r="Z650" s="204"/>
    </row>
    <row r="651" spans="21:26" ht="15.75" customHeight="1" x14ac:dyDescent="0.35">
      <c r="U651" s="204"/>
      <c r="V651" s="204"/>
      <c r="W651" s="204"/>
      <c r="X651" s="204"/>
      <c r="Y651" s="204"/>
      <c r="Z651" s="204"/>
    </row>
    <row r="652" spans="21:26" ht="15.75" customHeight="1" x14ac:dyDescent="0.35">
      <c r="U652" s="204"/>
      <c r="V652" s="204"/>
      <c r="W652" s="204"/>
      <c r="X652" s="204"/>
      <c r="Y652" s="204"/>
      <c r="Z652" s="204"/>
    </row>
    <row r="653" spans="21:26" ht="15.75" customHeight="1" x14ac:dyDescent="0.35">
      <c r="U653" s="204"/>
      <c r="V653" s="204"/>
      <c r="W653" s="204"/>
      <c r="X653" s="204"/>
      <c r="Y653" s="204"/>
      <c r="Z653" s="204"/>
    </row>
    <row r="654" spans="21:26" ht="15.75" customHeight="1" x14ac:dyDescent="0.35">
      <c r="U654" s="204"/>
      <c r="V654" s="204"/>
      <c r="W654" s="204"/>
      <c r="X654" s="204"/>
      <c r="Y654" s="204"/>
      <c r="Z654" s="204"/>
    </row>
    <row r="655" spans="21:26" ht="15.75" customHeight="1" x14ac:dyDescent="0.35">
      <c r="U655" s="204"/>
      <c r="V655" s="204"/>
      <c r="W655" s="204"/>
      <c r="X655" s="204"/>
      <c r="Y655" s="204"/>
      <c r="Z655" s="204"/>
    </row>
    <row r="656" spans="21:26" ht="15.75" customHeight="1" x14ac:dyDescent="0.35">
      <c r="U656" s="204"/>
      <c r="V656" s="204"/>
      <c r="W656" s="204"/>
      <c r="X656" s="204"/>
      <c r="Y656" s="204"/>
      <c r="Z656" s="204"/>
    </row>
    <row r="657" spans="21:26" ht="15.75" customHeight="1" x14ac:dyDescent="0.35">
      <c r="U657" s="204"/>
      <c r="V657" s="204"/>
      <c r="W657" s="204"/>
      <c r="X657" s="204"/>
      <c r="Y657" s="204"/>
      <c r="Z657" s="204"/>
    </row>
    <row r="658" spans="21:26" ht="15.75" customHeight="1" x14ac:dyDescent="0.35">
      <c r="U658" s="204"/>
      <c r="V658" s="204"/>
      <c r="W658" s="204"/>
      <c r="X658" s="204"/>
      <c r="Y658" s="204"/>
      <c r="Z658" s="204"/>
    </row>
    <row r="659" spans="21:26" ht="15.75" customHeight="1" x14ac:dyDescent="0.35">
      <c r="U659" s="204"/>
      <c r="V659" s="204"/>
      <c r="W659" s="204"/>
      <c r="X659" s="204"/>
      <c r="Y659" s="204"/>
      <c r="Z659" s="204"/>
    </row>
    <row r="660" spans="21:26" ht="15.75" customHeight="1" x14ac:dyDescent="0.35">
      <c r="U660" s="204"/>
      <c r="V660" s="204"/>
      <c r="W660" s="204"/>
      <c r="X660" s="204"/>
      <c r="Y660" s="204"/>
      <c r="Z660" s="204"/>
    </row>
    <row r="661" spans="21:26" ht="15.75" customHeight="1" x14ac:dyDescent="0.35">
      <c r="U661" s="204"/>
      <c r="V661" s="204"/>
      <c r="W661" s="204"/>
      <c r="X661" s="204"/>
      <c r="Y661" s="204"/>
      <c r="Z661" s="204"/>
    </row>
    <row r="662" spans="21:26" ht="15.75" customHeight="1" x14ac:dyDescent="0.35">
      <c r="U662" s="204"/>
      <c r="V662" s="204"/>
      <c r="W662" s="204"/>
      <c r="X662" s="204"/>
      <c r="Y662" s="204"/>
      <c r="Z662" s="204"/>
    </row>
    <row r="663" spans="21:26" ht="15.75" customHeight="1" x14ac:dyDescent="0.35">
      <c r="U663" s="204"/>
      <c r="V663" s="204"/>
      <c r="W663" s="204"/>
      <c r="X663" s="204"/>
      <c r="Y663" s="204"/>
      <c r="Z663" s="204"/>
    </row>
    <row r="664" spans="21:26" ht="15.75" customHeight="1" x14ac:dyDescent="0.35">
      <c r="U664" s="204"/>
      <c r="V664" s="204"/>
      <c r="W664" s="204"/>
      <c r="X664" s="204"/>
      <c r="Y664" s="204"/>
      <c r="Z664" s="204"/>
    </row>
    <row r="665" spans="21:26" ht="15.75" customHeight="1" x14ac:dyDescent="0.35">
      <c r="U665" s="204"/>
      <c r="V665" s="204"/>
      <c r="W665" s="204"/>
      <c r="X665" s="204"/>
      <c r="Y665" s="204"/>
      <c r="Z665" s="204"/>
    </row>
    <row r="666" spans="21:26" ht="15.75" customHeight="1" x14ac:dyDescent="0.35">
      <c r="U666" s="204"/>
      <c r="V666" s="204"/>
      <c r="W666" s="204"/>
      <c r="X666" s="204"/>
      <c r="Y666" s="204"/>
      <c r="Z666" s="204"/>
    </row>
    <row r="667" spans="21:26" ht="15.75" customHeight="1" x14ac:dyDescent="0.35">
      <c r="U667" s="204"/>
      <c r="V667" s="204"/>
      <c r="W667" s="204"/>
      <c r="X667" s="204"/>
      <c r="Y667" s="204"/>
      <c r="Z667" s="204"/>
    </row>
    <row r="668" spans="21:26" ht="15.75" customHeight="1" x14ac:dyDescent="0.35">
      <c r="U668" s="204"/>
      <c r="V668" s="204"/>
      <c r="W668" s="204"/>
      <c r="X668" s="204"/>
      <c r="Y668" s="204"/>
      <c r="Z668" s="204"/>
    </row>
    <row r="669" spans="21:26" ht="15.75" customHeight="1" x14ac:dyDescent="0.35">
      <c r="U669" s="204"/>
      <c r="V669" s="204"/>
      <c r="W669" s="204"/>
      <c r="X669" s="204"/>
      <c r="Y669" s="204"/>
      <c r="Z669" s="204"/>
    </row>
    <row r="670" spans="21:26" ht="15.75" customHeight="1" x14ac:dyDescent="0.35">
      <c r="U670" s="204"/>
      <c r="V670" s="204"/>
      <c r="W670" s="204"/>
      <c r="X670" s="204"/>
      <c r="Y670" s="204"/>
      <c r="Z670" s="204"/>
    </row>
    <row r="671" spans="21:26" ht="15.75" customHeight="1" x14ac:dyDescent="0.35">
      <c r="U671" s="204"/>
      <c r="V671" s="204"/>
      <c r="W671" s="204"/>
      <c r="X671" s="204"/>
      <c r="Y671" s="204"/>
      <c r="Z671" s="204"/>
    </row>
    <row r="672" spans="21:26" ht="15.75" customHeight="1" x14ac:dyDescent="0.35">
      <c r="U672" s="204"/>
      <c r="V672" s="204"/>
      <c r="W672" s="204"/>
      <c r="X672" s="204"/>
      <c r="Y672" s="204"/>
      <c r="Z672" s="204"/>
    </row>
    <row r="673" spans="21:26" ht="15.75" customHeight="1" x14ac:dyDescent="0.35">
      <c r="U673" s="204"/>
      <c r="V673" s="204"/>
      <c r="W673" s="204"/>
      <c r="X673" s="204"/>
      <c r="Y673" s="204"/>
      <c r="Z673" s="204"/>
    </row>
    <row r="674" spans="21:26" ht="15.75" customHeight="1" x14ac:dyDescent="0.35">
      <c r="U674" s="204"/>
      <c r="V674" s="204"/>
      <c r="W674" s="204"/>
      <c r="X674" s="204"/>
      <c r="Y674" s="204"/>
      <c r="Z674" s="204"/>
    </row>
    <row r="675" spans="21:26" ht="15.75" customHeight="1" x14ac:dyDescent="0.35">
      <c r="U675" s="204"/>
      <c r="V675" s="204"/>
      <c r="W675" s="204"/>
      <c r="X675" s="204"/>
      <c r="Y675" s="204"/>
      <c r="Z675" s="204"/>
    </row>
    <row r="676" spans="21:26" ht="15.75" customHeight="1" x14ac:dyDescent="0.35">
      <c r="U676" s="204"/>
      <c r="V676" s="204"/>
      <c r="W676" s="204"/>
      <c r="X676" s="204"/>
      <c r="Y676" s="204"/>
      <c r="Z676" s="204"/>
    </row>
    <row r="677" spans="21:26" ht="15.75" customHeight="1" x14ac:dyDescent="0.35">
      <c r="U677" s="204"/>
      <c r="V677" s="204"/>
      <c r="W677" s="204"/>
      <c r="X677" s="204"/>
      <c r="Y677" s="204"/>
      <c r="Z677" s="204"/>
    </row>
    <row r="678" spans="21:26" ht="15.75" customHeight="1" x14ac:dyDescent="0.35">
      <c r="U678" s="204"/>
      <c r="V678" s="204"/>
      <c r="W678" s="204"/>
      <c r="X678" s="204"/>
      <c r="Y678" s="204"/>
      <c r="Z678" s="204"/>
    </row>
    <row r="679" spans="21:26" ht="15.75" customHeight="1" x14ac:dyDescent="0.35">
      <c r="U679" s="204"/>
      <c r="V679" s="204"/>
      <c r="W679" s="204"/>
      <c r="X679" s="204"/>
      <c r="Y679" s="204"/>
      <c r="Z679" s="204"/>
    </row>
    <row r="680" spans="21:26" ht="15.75" customHeight="1" x14ac:dyDescent="0.35">
      <c r="U680" s="204"/>
      <c r="V680" s="204"/>
      <c r="W680" s="204"/>
      <c r="X680" s="204"/>
      <c r="Y680" s="204"/>
      <c r="Z680" s="204"/>
    </row>
    <row r="681" spans="21:26" ht="15.75" customHeight="1" x14ac:dyDescent="0.35">
      <c r="U681" s="204"/>
      <c r="V681" s="204"/>
      <c r="W681" s="204"/>
      <c r="X681" s="204"/>
      <c r="Y681" s="204"/>
      <c r="Z681" s="204"/>
    </row>
    <row r="682" spans="21:26" ht="15.75" customHeight="1" x14ac:dyDescent="0.35">
      <c r="U682" s="204"/>
      <c r="V682" s="204"/>
      <c r="W682" s="204"/>
      <c r="X682" s="204"/>
      <c r="Y682" s="204"/>
      <c r="Z682" s="204"/>
    </row>
    <row r="683" spans="21:26" ht="15.75" customHeight="1" x14ac:dyDescent="0.35">
      <c r="U683" s="204"/>
      <c r="V683" s="204"/>
      <c r="W683" s="204"/>
      <c r="X683" s="204"/>
      <c r="Y683" s="204"/>
      <c r="Z683" s="204"/>
    </row>
    <row r="684" spans="21:26" ht="15.75" customHeight="1" x14ac:dyDescent="0.35">
      <c r="U684" s="204"/>
      <c r="V684" s="204"/>
      <c r="W684" s="204"/>
      <c r="X684" s="204"/>
      <c r="Y684" s="204"/>
      <c r="Z684" s="204"/>
    </row>
    <row r="685" spans="21:26" ht="15.75" customHeight="1" x14ac:dyDescent="0.35">
      <c r="U685" s="204"/>
      <c r="V685" s="204"/>
      <c r="W685" s="204"/>
      <c r="X685" s="204"/>
      <c r="Y685" s="204"/>
      <c r="Z685" s="204"/>
    </row>
    <row r="686" spans="21:26" ht="15.75" customHeight="1" x14ac:dyDescent="0.35">
      <c r="U686" s="204"/>
      <c r="V686" s="204"/>
      <c r="W686" s="204"/>
      <c r="X686" s="204"/>
      <c r="Y686" s="204"/>
      <c r="Z686" s="204"/>
    </row>
    <row r="687" spans="21:26" ht="15.75" customHeight="1" x14ac:dyDescent="0.35">
      <c r="U687" s="204"/>
      <c r="V687" s="204"/>
      <c r="W687" s="204"/>
      <c r="X687" s="204"/>
      <c r="Y687" s="204"/>
      <c r="Z687" s="204"/>
    </row>
    <row r="688" spans="21:26" ht="15.75" customHeight="1" x14ac:dyDescent="0.35">
      <c r="U688" s="204"/>
      <c r="V688" s="204"/>
      <c r="W688" s="204"/>
      <c r="X688" s="204"/>
      <c r="Y688" s="204"/>
      <c r="Z688" s="204"/>
    </row>
    <row r="689" spans="21:26" ht="15.75" customHeight="1" x14ac:dyDescent="0.35">
      <c r="U689" s="204"/>
      <c r="V689" s="204"/>
      <c r="W689" s="204"/>
      <c r="X689" s="204"/>
      <c r="Y689" s="204"/>
      <c r="Z689" s="204"/>
    </row>
    <row r="690" spans="21:26" ht="15.75" customHeight="1" x14ac:dyDescent="0.35">
      <c r="U690" s="204"/>
      <c r="V690" s="204"/>
      <c r="W690" s="204"/>
      <c r="X690" s="204"/>
      <c r="Y690" s="204"/>
      <c r="Z690" s="204"/>
    </row>
    <row r="691" spans="21:26" ht="15.75" customHeight="1" x14ac:dyDescent="0.35">
      <c r="U691" s="204"/>
      <c r="V691" s="204"/>
      <c r="W691" s="204"/>
      <c r="X691" s="204"/>
      <c r="Y691" s="204"/>
      <c r="Z691" s="204"/>
    </row>
    <row r="692" spans="21:26" ht="15.75" customHeight="1" x14ac:dyDescent="0.35">
      <c r="U692" s="204"/>
      <c r="V692" s="204"/>
      <c r="W692" s="204"/>
      <c r="X692" s="204"/>
      <c r="Y692" s="204"/>
      <c r="Z692" s="204"/>
    </row>
    <row r="693" spans="21:26" ht="15.75" customHeight="1" x14ac:dyDescent="0.35">
      <c r="U693" s="204"/>
      <c r="V693" s="204"/>
      <c r="W693" s="204"/>
      <c r="X693" s="204"/>
      <c r="Y693" s="204"/>
      <c r="Z693" s="204"/>
    </row>
    <row r="694" spans="21:26" ht="15.75" customHeight="1" x14ac:dyDescent="0.35">
      <c r="U694" s="204"/>
      <c r="V694" s="204"/>
      <c r="W694" s="204"/>
      <c r="X694" s="204"/>
      <c r="Y694" s="204"/>
      <c r="Z694" s="204"/>
    </row>
    <row r="695" spans="21:26" ht="15.75" customHeight="1" x14ac:dyDescent="0.35">
      <c r="U695" s="204"/>
      <c r="V695" s="204"/>
      <c r="W695" s="204"/>
      <c r="X695" s="204"/>
      <c r="Y695" s="204"/>
      <c r="Z695" s="204"/>
    </row>
    <row r="696" spans="21:26" ht="15.75" customHeight="1" x14ac:dyDescent="0.35">
      <c r="U696" s="204"/>
      <c r="V696" s="204"/>
      <c r="W696" s="204"/>
      <c r="X696" s="204"/>
      <c r="Y696" s="204"/>
      <c r="Z696" s="204"/>
    </row>
    <row r="697" spans="21:26" ht="15.75" customHeight="1" x14ac:dyDescent="0.35">
      <c r="U697" s="204"/>
      <c r="V697" s="204"/>
      <c r="W697" s="204"/>
      <c r="X697" s="204"/>
      <c r="Y697" s="204"/>
      <c r="Z697" s="204"/>
    </row>
    <row r="698" spans="21:26" ht="15.75" customHeight="1" x14ac:dyDescent="0.35">
      <c r="U698" s="204"/>
      <c r="V698" s="204"/>
      <c r="W698" s="204"/>
      <c r="X698" s="204"/>
      <c r="Y698" s="204"/>
      <c r="Z698" s="204"/>
    </row>
    <row r="699" spans="21:26" ht="15.75" customHeight="1" x14ac:dyDescent="0.35">
      <c r="U699" s="204"/>
      <c r="V699" s="204"/>
      <c r="W699" s="204"/>
      <c r="X699" s="204"/>
      <c r="Y699" s="204"/>
      <c r="Z699" s="204"/>
    </row>
    <row r="700" spans="21:26" ht="15.75" customHeight="1" x14ac:dyDescent="0.35">
      <c r="U700" s="204"/>
      <c r="V700" s="204"/>
      <c r="W700" s="204"/>
      <c r="X700" s="204"/>
      <c r="Y700" s="204"/>
      <c r="Z700" s="204"/>
    </row>
    <row r="701" spans="21:26" ht="15.75" customHeight="1" x14ac:dyDescent="0.35">
      <c r="U701" s="204"/>
      <c r="V701" s="204"/>
      <c r="W701" s="204"/>
      <c r="X701" s="204"/>
      <c r="Y701" s="204"/>
      <c r="Z701" s="204"/>
    </row>
    <row r="702" spans="21:26" ht="15.75" customHeight="1" x14ac:dyDescent="0.35">
      <c r="U702" s="204"/>
      <c r="V702" s="204"/>
      <c r="W702" s="204"/>
      <c r="X702" s="204"/>
      <c r="Y702" s="204"/>
      <c r="Z702" s="204"/>
    </row>
    <row r="703" spans="21:26" ht="15.75" customHeight="1" x14ac:dyDescent="0.35">
      <c r="U703" s="204"/>
      <c r="V703" s="204"/>
      <c r="W703" s="204"/>
      <c r="X703" s="204"/>
      <c r="Y703" s="204"/>
      <c r="Z703" s="204"/>
    </row>
    <row r="704" spans="21:26" ht="15.75" customHeight="1" x14ac:dyDescent="0.35">
      <c r="U704" s="204"/>
      <c r="V704" s="204"/>
      <c r="W704" s="204"/>
      <c r="X704" s="204"/>
      <c r="Y704" s="204"/>
      <c r="Z704" s="204"/>
    </row>
    <row r="705" spans="21:26" ht="15.75" customHeight="1" x14ac:dyDescent="0.35">
      <c r="U705" s="204"/>
      <c r="V705" s="204"/>
      <c r="W705" s="204"/>
      <c r="X705" s="204"/>
      <c r="Y705" s="204"/>
      <c r="Z705" s="204"/>
    </row>
    <row r="706" spans="21:26" ht="15.75" customHeight="1" x14ac:dyDescent="0.35">
      <c r="U706" s="204"/>
      <c r="V706" s="204"/>
      <c r="W706" s="204"/>
      <c r="X706" s="204"/>
      <c r="Y706" s="204"/>
      <c r="Z706" s="204"/>
    </row>
    <row r="707" spans="21:26" ht="15.75" customHeight="1" x14ac:dyDescent="0.35">
      <c r="U707" s="204"/>
      <c r="V707" s="204"/>
      <c r="W707" s="204"/>
      <c r="X707" s="204"/>
      <c r="Y707" s="204"/>
      <c r="Z707" s="204"/>
    </row>
    <row r="708" spans="21:26" ht="15.75" customHeight="1" x14ac:dyDescent="0.35">
      <c r="U708" s="204"/>
      <c r="V708" s="204"/>
      <c r="W708" s="204"/>
      <c r="X708" s="204"/>
      <c r="Y708" s="204"/>
      <c r="Z708" s="204"/>
    </row>
    <row r="709" spans="21:26" ht="15.75" customHeight="1" x14ac:dyDescent="0.35">
      <c r="U709" s="204"/>
      <c r="V709" s="204"/>
      <c r="W709" s="204"/>
      <c r="X709" s="204"/>
      <c r="Y709" s="204"/>
      <c r="Z709" s="204"/>
    </row>
    <row r="710" spans="21:26" ht="15.75" customHeight="1" x14ac:dyDescent="0.35">
      <c r="U710" s="204"/>
      <c r="V710" s="204"/>
      <c r="W710" s="204"/>
      <c r="X710" s="204"/>
      <c r="Y710" s="204"/>
      <c r="Z710" s="204"/>
    </row>
    <row r="711" spans="21:26" ht="15.75" customHeight="1" x14ac:dyDescent="0.35">
      <c r="U711" s="204"/>
      <c r="V711" s="204"/>
      <c r="W711" s="204"/>
      <c r="X711" s="204"/>
      <c r="Y711" s="204"/>
      <c r="Z711" s="204"/>
    </row>
    <row r="712" spans="21:26" ht="15.75" customHeight="1" x14ac:dyDescent="0.35">
      <c r="U712" s="204"/>
      <c r="V712" s="204"/>
      <c r="W712" s="204"/>
      <c r="X712" s="204"/>
      <c r="Y712" s="204"/>
      <c r="Z712" s="204"/>
    </row>
    <row r="713" spans="21:26" ht="15.75" customHeight="1" x14ac:dyDescent="0.35">
      <c r="U713" s="204"/>
      <c r="V713" s="204"/>
      <c r="W713" s="204"/>
      <c r="X713" s="204"/>
      <c r="Y713" s="204"/>
      <c r="Z713" s="204"/>
    </row>
    <row r="714" spans="21:26" ht="15.75" customHeight="1" x14ac:dyDescent="0.35">
      <c r="U714" s="204"/>
      <c r="V714" s="204"/>
      <c r="W714" s="204"/>
      <c r="X714" s="204"/>
      <c r="Y714" s="204"/>
      <c r="Z714" s="204"/>
    </row>
    <row r="715" spans="21:26" ht="15.75" customHeight="1" x14ac:dyDescent="0.35">
      <c r="U715" s="204"/>
      <c r="V715" s="204"/>
      <c r="W715" s="204"/>
      <c r="X715" s="204"/>
      <c r="Y715" s="204"/>
      <c r="Z715" s="204"/>
    </row>
    <row r="716" spans="21:26" ht="15.75" customHeight="1" x14ac:dyDescent="0.35">
      <c r="U716" s="204"/>
      <c r="V716" s="204"/>
      <c r="W716" s="204"/>
      <c r="X716" s="204"/>
      <c r="Y716" s="204"/>
      <c r="Z716" s="204"/>
    </row>
    <row r="717" spans="21:26" ht="15.75" customHeight="1" x14ac:dyDescent="0.35">
      <c r="U717" s="204"/>
      <c r="V717" s="204"/>
      <c r="W717" s="204"/>
      <c r="X717" s="204"/>
      <c r="Y717" s="204"/>
      <c r="Z717" s="204"/>
    </row>
    <row r="718" spans="21:26" ht="15.75" customHeight="1" x14ac:dyDescent="0.35">
      <c r="U718" s="204"/>
      <c r="V718" s="204"/>
      <c r="W718" s="204"/>
      <c r="X718" s="204"/>
      <c r="Y718" s="204"/>
      <c r="Z718" s="204"/>
    </row>
    <row r="719" spans="21:26" ht="15.75" customHeight="1" x14ac:dyDescent="0.35">
      <c r="U719" s="204"/>
      <c r="V719" s="204"/>
      <c r="W719" s="204"/>
      <c r="X719" s="204"/>
      <c r="Y719" s="204"/>
      <c r="Z719" s="204"/>
    </row>
    <row r="720" spans="21:26" ht="15.75" customHeight="1" x14ac:dyDescent="0.35">
      <c r="U720" s="204"/>
      <c r="V720" s="204"/>
      <c r="W720" s="204"/>
      <c r="X720" s="204"/>
      <c r="Y720" s="204"/>
      <c r="Z720" s="204"/>
    </row>
    <row r="721" spans="21:26" ht="15.75" customHeight="1" x14ac:dyDescent="0.35">
      <c r="U721" s="204"/>
      <c r="V721" s="204"/>
      <c r="W721" s="204"/>
      <c r="X721" s="204"/>
      <c r="Y721" s="204"/>
      <c r="Z721" s="204"/>
    </row>
    <row r="722" spans="21:26" ht="15.75" customHeight="1" x14ac:dyDescent="0.35">
      <c r="U722" s="204"/>
      <c r="V722" s="204"/>
      <c r="W722" s="204"/>
      <c r="X722" s="204"/>
      <c r="Y722" s="204"/>
      <c r="Z722" s="204"/>
    </row>
    <row r="723" spans="21:26" ht="15.75" customHeight="1" x14ac:dyDescent="0.35">
      <c r="U723" s="204"/>
      <c r="V723" s="204"/>
      <c r="W723" s="204"/>
      <c r="X723" s="204"/>
      <c r="Y723" s="204"/>
      <c r="Z723" s="204"/>
    </row>
    <row r="724" spans="21:26" ht="15.75" customHeight="1" x14ac:dyDescent="0.35">
      <c r="U724" s="204"/>
      <c r="V724" s="204"/>
      <c r="W724" s="204"/>
      <c r="X724" s="204"/>
      <c r="Y724" s="204"/>
      <c r="Z724" s="204"/>
    </row>
    <row r="725" spans="21:26" ht="15.75" customHeight="1" x14ac:dyDescent="0.35">
      <c r="U725" s="204"/>
      <c r="V725" s="204"/>
      <c r="W725" s="204"/>
      <c r="X725" s="204"/>
      <c r="Y725" s="204"/>
      <c r="Z725" s="204"/>
    </row>
    <row r="726" spans="21:26" ht="15.75" customHeight="1" x14ac:dyDescent="0.35">
      <c r="U726" s="204"/>
      <c r="V726" s="204"/>
      <c r="W726" s="204"/>
      <c r="X726" s="204"/>
      <c r="Y726" s="204"/>
      <c r="Z726" s="204"/>
    </row>
    <row r="727" spans="21:26" ht="15.75" customHeight="1" x14ac:dyDescent="0.35">
      <c r="U727" s="204"/>
      <c r="V727" s="204"/>
      <c r="W727" s="204"/>
      <c r="X727" s="204"/>
      <c r="Y727" s="204"/>
      <c r="Z727" s="204"/>
    </row>
    <row r="728" spans="21:26" ht="15.75" customHeight="1" x14ac:dyDescent="0.35">
      <c r="U728" s="204"/>
      <c r="V728" s="204"/>
      <c r="W728" s="204"/>
      <c r="X728" s="204"/>
      <c r="Y728" s="204"/>
      <c r="Z728" s="204"/>
    </row>
    <row r="729" spans="21:26" ht="15.75" customHeight="1" x14ac:dyDescent="0.35">
      <c r="U729" s="204"/>
      <c r="V729" s="204"/>
      <c r="W729" s="204"/>
      <c r="X729" s="204"/>
      <c r="Y729" s="204"/>
      <c r="Z729" s="204"/>
    </row>
    <row r="730" spans="21:26" ht="15.75" customHeight="1" x14ac:dyDescent="0.35">
      <c r="U730" s="204"/>
      <c r="V730" s="204"/>
      <c r="W730" s="204"/>
      <c r="X730" s="204"/>
      <c r="Y730" s="204"/>
      <c r="Z730" s="204"/>
    </row>
    <row r="731" spans="21:26" ht="15.75" customHeight="1" x14ac:dyDescent="0.35">
      <c r="U731" s="204"/>
      <c r="V731" s="204"/>
      <c r="W731" s="204"/>
      <c r="X731" s="204"/>
      <c r="Y731" s="204"/>
      <c r="Z731" s="204"/>
    </row>
    <row r="732" spans="21:26" ht="15.75" customHeight="1" x14ac:dyDescent="0.35">
      <c r="U732" s="204"/>
      <c r="V732" s="204"/>
      <c r="W732" s="204"/>
      <c r="X732" s="204"/>
      <c r="Y732" s="204"/>
      <c r="Z732" s="204"/>
    </row>
    <row r="733" spans="21:26" ht="15.75" customHeight="1" x14ac:dyDescent="0.35">
      <c r="U733" s="204"/>
      <c r="V733" s="204"/>
      <c r="W733" s="204"/>
      <c r="X733" s="204"/>
      <c r="Y733" s="204"/>
      <c r="Z733" s="204"/>
    </row>
    <row r="734" spans="21:26" ht="15.75" customHeight="1" x14ac:dyDescent="0.35">
      <c r="U734" s="204"/>
      <c r="V734" s="204"/>
      <c r="W734" s="204"/>
      <c r="X734" s="204"/>
      <c r="Y734" s="204"/>
      <c r="Z734" s="204"/>
    </row>
    <row r="735" spans="21:26" ht="15.75" customHeight="1" x14ac:dyDescent="0.35">
      <c r="U735" s="204"/>
      <c r="V735" s="204"/>
      <c r="W735" s="204"/>
      <c r="X735" s="204"/>
      <c r="Y735" s="204"/>
      <c r="Z735" s="204"/>
    </row>
    <row r="736" spans="21:26" ht="15.75" customHeight="1" x14ac:dyDescent="0.35">
      <c r="U736" s="204"/>
      <c r="V736" s="204"/>
      <c r="W736" s="204"/>
      <c r="X736" s="204"/>
      <c r="Y736" s="204"/>
      <c r="Z736" s="204"/>
    </row>
    <row r="737" spans="21:26" ht="15.75" customHeight="1" x14ac:dyDescent="0.35">
      <c r="U737" s="204"/>
      <c r="V737" s="204"/>
      <c r="W737" s="204"/>
      <c r="X737" s="204"/>
      <c r="Y737" s="204"/>
      <c r="Z737" s="204"/>
    </row>
    <row r="738" spans="21:26" ht="15.75" customHeight="1" x14ac:dyDescent="0.35">
      <c r="U738" s="204"/>
      <c r="V738" s="204"/>
      <c r="W738" s="204"/>
      <c r="X738" s="204"/>
      <c r="Y738" s="204"/>
      <c r="Z738" s="204"/>
    </row>
    <row r="739" spans="21:26" ht="15.75" customHeight="1" x14ac:dyDescent="0.35">
      <c r="U739" s="204"/>
      <c r="V739" s="204"/>
      <c r="W739" s="204"/>
      <c r="X739" s="204"/>
      <c r="Y739" s="204"/>
      <c r="Z739" s="204"/>
    </row>
    <row r="740" spans="21:26" ht="15.75" customHeight="1" x14ac:dyDescent="0.35">
      <c r="U740" s="204"/>
      <c r="V740" s="204"/>
      <c r="W740" s="204"/>
      <c r="X740" s="204"/>
      <c r="Y740" s="204"/>
      <c r="Z740" s="204"/>
    </row>
    <row r="741" spans="21:26" ht="15.75" customHeight="1" x14ac:dyDescent="0.35">
      <c r="U741" s="204"/>
      <c r="V741" s="204"/>
      <c r="W741" s="204"/>
      <c r="X741" s="204"/>
      <c r="Y741" s="204"/>
      <c r="Z741" s="204"/>
    </row>
    <row r="742" spans="21:26" ht="15.75" customHeight="1" x14ac:dyDescent="0.35">
      <c r="U742" s="204"/>
      <c r="V742" s="204"/>
      <c r="W742" s="204"/>
      <c r="X742" s="204"/>
      <c r="Y742" s="204"/>
      <c r="Z742" s="204"/>
    </row>
    <row r="743" spans="21:26" ht="15.75" customHeight="1" x14ac:dyDescent="0.35">
      <c r="U743" s="204"/>
      <c r="V743" s="204"/>
      <c r="W743" s="204"/>
      <c r="X743" s="204"/>
      <c r="Y743" s="204"/>
      <c r="Z743" s="204"/>
    </row>
    <row r="744" spans="21:26" ht="15.75" customHeight="1" x14ac:dyDescent="0.35">
      <c r="U744" s="204"/>
      <c r="V744" s="204"/>
      <c r="W744" s="204"/>
      <c r="X744" s="204"/>
      <c r="Y744" s="204"/>
      <c r="Z744" s="204"/>
    </row>
    <row r="745" spans="21:26" ht="15.75" customHeight="1" x14ac:dyDescent="0.35">
      <c r="U745" s="204"/>
      <c r="V745" s="204"/>
      <c r="W745" s="204"/>
      <c r="X745" s="204"/>
      <c r="Y745" s="204"/>
      <c r="Z745" s="204"/>
    </row>
    <row r="746" spans="21:26" ht="15.75" customHeight="1" x14ac:dyDescent="0.35">
      <c r="U746" s="204"/>
      <c r="V746" s="204"/>
      <c r="W746" s="204"/>
      <c r="X746" s="204"/>
      <c r="Y746" s="204"/>
      <c r="Z746" s="204"/>
    </row>
    <row r="747" spans="21:26" ht="15.75" customHeight="1" x14ac:dyDescent="0.35">
      <c r="U747" s="204"/>
      <c r="V747" s="204"/>
      <c r="W747" s="204"/>
      <c r="X747" s="204"/>
      <c r="Y747" s="204"/>
      <c r="Z747" s="204"/>
    </row>
    <row r="748" spans="21:26" ht="15.75" customHeight="1" x14ac:dyDescent="0.35">
      <c r="U748" s="204"/>
      <c r="V748" s="204"/>
      <c r="W748" s="204"/>
      <c r="X748" s="204"/>
      <c r="Y748" s="204"/>
      <c r="Z748" s="204"/>
    </row>
    <row r="749" spans="21:26" ht="15.75" customHeight="1" x14ac:dyDescent="0.35">
      <c r="U749" s="204"/>
      <c r="V749" s="204"/>
      <c r="W749" s="204"/>
      <c r="X749" s="204"/>
      <c r="Y749" s="204"/>
      <c r="Z749" s="204"/>
    </row>
    <row r="750" spans="21:26" ht="15.75" customHeight="1" x14ac:dyDescent="0.35">
      <c r="U750" s="204"/>
      <c r="V750" s="204"/>
      <c r="W750" s="204"/>
      <c r="X750" s="204"/>
      <c r="Y750" s="204"/>
      <c r="Z750" s="204"/>
    </row>
    <row r="751" spans="21:26" ht="15.75" customHeight="1" x14ac:dyDescent="0.35">
      <c r="U751" s="204"/>
      <c r="V751" s="204"/>
      <c r="W751" s="204"/>
      <c r="X751" s="204"/>
      <c r="Y751" s="204"/>
      <c r="Z751" s="204"/>
    </row>
    <row r="752" spans="21:26" ht="15.75" customHeight="1" x14ac:dyDescent="0.35">
      <c r="U752" s="204"/>
      <c r="V752" s="204"/>
      <c r="W752" s="204"/>
      <c r="X752" s="204"/>
      <c r="Y752" s="204"/>
      <c r="Z752" s="204"/>
    </row>
    <row r="753" spans="21:26" ht="15.75" customHeight="1" x14ac:dyDescent="0.35">
      <c r="U753" s="204"/>
      <c r="V753" s="204"/>
      <c r="W753" s="204"/>
      <c r="X753" s="204"/>
      <c r="Y753" s="204"/>
      <c r="Z753" s="204"/>
    </row>
    <row r="754" spans="21:26" ht="15.75" customHeight="1" x14ac:dyDescent="0.35">
      <c r="U754" s="204"/>
      <c r="V754" s="204"/>
      <c r="W754" s="204"/>
      <c r="X754" s="204"/>
      <c r="Y754" s="204"/>
      <c r="Z754" s="204"/>
    </row>
    <row r="755" spans="21:26" ht="15.75" customHeight="1" x14ac:dyDescent="0.35">
      <c r="U755" s="204"/>
      <c r="V755" s="204"/>
      <c r="W755" s="204"/>
      <c r="X755" s="204"/>
      <c r="Y755" s="204"/>
      <c r="Z755" s="204"/>
    </row>
    <row r="756" spans="21:26" ht="15.75" customHeight="1" x14ac:dyDescent="0.35">
      <c r="U756" s="204"/>
      <c r="V756" s="204"/>
      <c r="W756" s="204"/>
      <c r="X756" s="204"/>
      <c r="Y756" s="204"/>
      <c r="Z756" s="204"/>
    </row>
    <row r="757" spans="21:26" ht="15.75" customHeight="1" x14ac:dyDescent="0.35">
      <c r="U757" s="204"/>
      <c r="V757" s="204"/>
      <c r="W757" s="204"/>
      <c r="X757" s="204"/>
      <c r="Y757" s="204"/>
      <c r="Z757" s="204"/>
    </row>
    <row r="758" spans="21:26" ht="15.75" customHeight="1" x14ac:dyDescent="0.35">
      <c r="U758" s="204"/>
      <c r="V758" s="204"/>
      <c r="W758" s="204"/>
      <c r="X758" s="204"/>
      <c r="Y758" s="204"/>
      <c r="Z758" s="204"/>
    </row>
    <row r="759" spans="21:26" ht="15.75" customHeight="1" x14ac:dyDescent="0.35">
      <c r="U759" s="204"/>
      <c r="V759" s="204"/>
      <c r="W759" s="204"/>
      <c r="X759" s="204"/>
      <c r="Y759" s="204"/>
      <c r="Z759" s="204"/>
    </row>
    <row r="760" spans="21:26" ht="15.75" customHeight="1" x14ac:dyDescent="0.35">
      <c r="U760" s="204"/>
      <c r="V760" s="204"/>
      <c r="W760" s="204"/>
      <c r="X760" s="204"/>
      <c r="Y760" s="204"/>
      <c r="Z760" s="204"/>
    </row>
    <row r="761" spans="21:26" ht="15.75" customHeight="1" x14ac:dyDescent="0.35">
      <c r="U761" s="204"/>
      <c r="V761" s="204"/>
      <c r="W761" s="204"/>
      <c r="X761" s="204"/>
      <c r="Y761" s="204"/>
      <c r="Z761" s="204"/>
    </row>
    <row r="762" spans="21:26" ht="15.75" customHeight="1" x14ac:dyDescent="0.35">
      <c r="U762" s="204"/>
      <c r="V762" s="204"/>
      <c r="W762" s="204"/>
      <c r="X762" s="204"/>
      <c r="Y762" s="204"/>
      <c r="Z762" s="204"/>
    </row>
    <row r="763" spans="21:26" ht="15.75" customHeight="1" x14ac:dyDescent="0.35">
      <c r="U763" s="204"/>
      <c r="V763" s="204"/>
      <c r="W763" s="204"/>
      <c r="X763" s="204"/>
      <c r="Y763" s="204"/>
      <c r="Z763" s="204"/>
    </row>
    <row r="764" spans="21:26" ht="15.75" customHeight="1" x14ac:dyDescent="0.35">
      <c r="U764" s="204"/>
      <c r="V764" s="204"/>
      <c r="W764" s="204"/>
      <c r="X764" s="204"/>
      <c r="Y764" s="204"/>
      <c r="Z764" s="204"/>
    </row>
    <row r="765" spans="21:26" ht="15.75" customHeight="1" x14ac:dyDescent="0.35">
      <c r="U765" s="204"/>
      <c r="V765" s="204"/>
      <c r="W765" s="204"/>
      <c r="X765" s="204"/>
      <c r="Y765" s="204"/>
      <c r="Z765" s="204"/>
    </row>
    <row r="766" spans="21:26" ht="15.75" customHeight="1" x14ac:dyDescent="0.35">
      <c r="U766" s="204"/>
      <c r="V766" s="204"/>
      <c r="W766" s="204"/>
      <c r="X766" s="204"/>
      <c r="Y766" s="204"/>
      <c r="Z766" s="204"/>
    </row>
    <row r="767" spans="21:26" ht="15.75" customHeight="1" x14ac:dyDescent="0.35">
      <c r="U767" s="204"/>
      <c r="V767" s="204"/>
      <c r="W767" s="204"/>
      <c r="X767" s="204"/>
      <c r="Y767" s="204"/>
      <c r="Z767" s="204"/>
    </row>
    <row r="768" spans="21:26" ht="15.75" customHeight="1" x14ac:dyDescent="0.35">
      <c r="U768" s="204"/>
      <c r="V768" s="204"/>
      <c r="W768" s="204"/>
      <c r="X768" s="204"/>
      <c r="Y768" s="204"/>
      <c r="Z768" s="204"/>
    </row>
    <row r="769" spans="21:26" ht="15.75" customHeight="1" x14ac:dyDescent="0.35">
      <c r="U769" s="204"/>
      <c r="V769" s="204"/>
      <c r="W769" s="204"/>
      <c r="X769" s="204"/>
      <c r="Y769" s="204"/>
      <c r="Z769" s="204"/>
    </row>
    <row r="770" spans="21:26" ht="15.75" customHeight="1" x14ac:dyDescent="0.35">
      <c r="U770" s="204"/>
      <c r="V770" s="204"/>
      <c r="W770" s="204"/>
      <c r="X770" s="204"/>
      <c r="Y770" s="204"/>
      <c r="Z770" s="204"/>
    </row>
    <row r="771" spans="21:26" ht="15.75" customHeight="1" x14ac:dyDescent="0.35">
      <c r="U771" s="204"/>
      <c r="V771" s="204"/>
      <c r="W771" s="204"/>
      <c r="X771" s="204"/>
      <c r="Y771" s="204"/>
      <c r="Z771" s="204"/>
    </row>
    <row r="772" spans="21:26" ht="15.75" customHeight="1" x14ac:dyDescent="0.35">
      <c r="U772" s="204"/>
      <c r="V772" s="204"/>
      <c r="W772" s="204"/>
      <c r="X772" s="204"/>
      <c r="Y772" s="204"/>
      <c r="Z772" s="204"/>
    </row>
    <row r="773" spans="21:26" ht="15.75" customHeight="1" x14ac:dyDescent="0.35">
      <c r="U773" s="204"/>
      <c r="V773" s="204"/>
      <c r="W773" s="204"/>
      <c r="X773" s="204"/>
      <c r="Y773" s="204"/>
      <c r="Z773" s="204"/>
    </row>
    <row r="774" spans="21:26" ht="15.75" customHeight="1" x14ac:dyDescent="0.35">
      <c r="U774" s="204"/>
      <c r="V774" s="204"/>
      <c r="W774" s="204"/>
      <c r="X774" s="204"/>
      <c r="Y774" s="204"/>
      <c r="Z774" s="204"/>
    </row>
    <row r="775" spans="21:26" ht="15.75" customHeight="1" x14ac:dyDescent="0.35">
      <c r="U775" s="204"/>
      <c r="V775" s="204"/>
      <c r="W775" s="204"/>
      <c r="X775" s="204"/>
      <c r="Y775" s="204"/>
      <c r="Z775" s="204"/>
    </row>
    <row r="776" spans="21:26" ht="15.75" customHeight="1" x14ac:dyDescent="0.35">
      <c r="U776" s="204"/>
      <c r="V776" s="204"/>
      <c r="W776" s="204"/>
      <c r="X776" s="204"/>
      <c r="Y776" s="204"/>
      <c r="Z776" s="204"/>
    </row>
    <row r="777" spans="21:26" ht="15.75" customHeight="1" x14ac:dyDescent="0.35">
      <c r="U777" s="204"/>
      <c r="V777" s="204"/>
      <c r="W777" s="204"/>
      <c r="X777" s="204"/>
      <c r="Y777" s="204"/>
      <c r="Z777" s="204"/>
    </row>
    <row r="778" spans="21:26" ht="15.75" customHeight="1" x14ac:dyDescent="0.35">
      <c r="U778" s="204"/>
      <c r="V778" s="204"/>
      <c r="W778" s="204"/>
      <c r="X778" s="204"/>
      <c r="Y778" s="204"/>
      <c r="Z778" s="204"/>
    </row>
    <row r="779" spans="21:26" ht="15.75" customHeight="1" x14ac:dyDescent="0.35">
      <c r="U779" s="204"/>
      <c r="V779" s="204"/>
      <c r="W779" s="204"/>
      <c r="X779" s="204"/>
      <c r="Y779" s="204"/>
      <c r="Z779" s="204"/>
    </row>
    <row r="780" spans="21:26" ht="15.75" customHeight="1" x14ac:dyDescent="0.35">
      <c r="U780" s="204"/>
      <c r="V780" s="204"/>
      <c r="W780" s="204"/>
      <c r="X780" s="204"/>
      <c r="Y780" s="204"/>
      <c r="Z780" s="204"/>
    </row>
    <row r="781" spans="21:26" ht="15.75" customHeight="1" x14ac:dyDescent="0.35">
      <c r="U781" s="204"/>
      <c r="V781" s="204"/>
      <c r="W781" s="204"/>
      <c r="X781" s="204"/>
      <c r="Y781" s="204"/>
      <c r="Z781" s="204"/>
    </row>
    <row r="782" spans="21:26" ht="15.75" customHeight="1" x14ac:dyDescent="0.35">
      <c r="U782" s="204"/>
      <c r="V782" s="204"/>
      <c r="W782" s="204"/>
      <c r="X782" s="204"/>
      <c r="Y782" s="204"/>
      <c r="Z782" s="204"/>
    </row>
    <row r="783" spans="21:26" ht="15.75" customHeight="1" x14ac:dyDescent="0.35">
      <c r="U783" s="204"/>
      <c r="V783" s="204"/>
      <c r="W783" s="204"/>
      <c r="X783" s="204"/>
      <c r="Y783" s="204"/>
      <c r="Z783" s="204"/>
    </row>
    <row r="784" spans="21:26" ht="15.75" customHeight="1" x14ac:dyDescent="0.35">
      <c r="U784" s="204"/>
      <c r="V784" s="204"/>
      <c r="W784" s="204"/>
      <c r="X784" s="204"/>
      <c r="Y784" s="204"/>
      <c r="Z784" s="204"/>
    </row>
    <row r="785" spans="21:26" ht="15.75" customHeight="1" x14ac:dyDescent="0.35">
      <c r="U785" s="204"/>
      <c r="V785" s="204"/>
      <c r="W785" s="204"/>
      <c r="X785" s="204"/>
      <c r="Y785" s="204"/>
      <c r="Z785" s="204"/>
    </row>
    <row r="786" spans="21:26" ht="15.75" customHeight="1" x14ac:dyDescent="0.35">
      <c r="U786" s="204"/>
      <c r="V786" s="204"/>
      <c r="W786" s="204"/>
      <c r="X786" s="204"/>
      <c r="Y786" s="204"/>
      <c r="Z786" s="204"/>
    </row>
    <row r="787" spans="21:26" ht="15.75" customHeight="1" x14ac:dyDescent="0.35">
      <c r="U787" s="204"/>
      <c r="V787" s="204"/>
      <c r="W787" s="204"/>
      <c r="X787" s="204"/>
      <c r="Y787" s="204"/>
      <c r="Z787" s="204"/>
    </row>
    <row r="788" spans="21:26" ht="15.75" customHeight="1" x14ac:dyDescent="0.35">
      <c r="U788" s="204"/>
      <c r="V788" s="204"/>
      <c r="W788" s="204"/>
      <c r="X788" s="204"/>
      <c r="Y788" s="204"/>
      <c r="Z788" s="204"/>
    </row>
    <row r="789" spans="21:26" ht="15.75" customHeight="1" x14ac:dyDescent="0.35">
      <c r="U789" s="204"/>
      <c r="V789" s="204"/>
      <c r="W789" s="204"/>
      <c r="X789" s="204"/>
      <c r="Y789" s="204"/>
      <c r="Z789" s="204"/>
    </row>
    <row r="790" spans="21:26" ht="15.75" customHeight="1" x14ac:dyDescent="0.35">
      <c r="U790" s="204"/>
      <c r="V790" s="204"/>
      <c r="W790" s="204"/>
      <c r="X790" s="204"/>
      <c r="Y790" s="204"/>
      <c r="Z790" s="204"/>
    </row>
    <row r="791" spans="21:26" ht="15.75" customHeight="1" x14ac:dyDescent="0.35">
      <c r="U791" s="204"/>
      <c r="V791" s="204"/>
      <c r="W791" s="204"/>
      <c r="X791" s="204"/>
      <c r="Y791" s="204"/>
      <c r="Z791" s="204"/>
    </row>
    <row r="792" spans="21:26" ht="15.75" customHeight="1" x14ac:dyDescent="0.35">
      <c r="U792" s="204"/>
      <c r="V792" s="204"/>
      <c r="W792" s="204"/>
      <c r="X792" s="204"/>
      <c r="Y792" s="204"/>
      <c r="Z792" s="204"/>
    </row>
    <row r="793" spans="21:26" ht="15.75" customHeight="1" x14ac:dyDescent="0.35">
      <c r="U793" s="204"/>
      <c r="V793" s="204"/>
      <c r="W793" s="204"/>
      <c r="X793" s="204"/>
      <c r="Y793" s="204"/>
      <c r="Z793" s="204"/>
    </row>
    <row r="794" spans="21:26" ht="15.75" customHeight="1" x14ac:dyDescent="0.35">
      <c r="U794" s="204"/>
      <c r="V794" s="204"/>
      <c r="W794" s="204"/>
      <c r="X794" s="204"/>
      <c r="Y794" s="204"/>
      <c r="Z794" s="204"/>
    </row>
    <row r="795" spans="21:26" ht="15.75" customHeight="1" x14ac:dyDescent="0.35">
      <c r="U795" s="204"/>
      <c r="V795" s="204"/>
      <c r="W795" s="204"/>
      <c r="X795" s="204"/>
      <c r="Y795" s="204"/>
      <c r="Z795" s="204"/>
    </row>
    <row r="796" spans="21:26" ht="15.75" customHeight="1" x14ac:dyDescent="0.35">
      <c r="U796" s="204"/>
      <c r="V796" s="204"/>
      <c r="W796" s="204"/>
      <c r="X796" s="204"/>
      <c r="Y796" s="204"/>
      <c r="Z796" s="204"/>
    </row>
    <row r="797" spans="21:26" ht="15.75" customHeight="1" x14ac:dyDescent="0.35">
      <c r="U797" s="204"/>
      <c r="V797" s="204"/>
      <c r="W797" s="204"/>
      <c r="X797" s="204"/>
      <c r="Y797" s="204"/>
      <c r="Z797" s="204"/>
    </row>
    <row r="798" spans="21:26" ht="15.75" customHeight="1" x14ac:dyDescent="0.35">
      <c r="U798" s="204"/>
      <c r="V798" s="204"/>
      <c r="W798" s="204"/>
      <c r="X798" s="204"/>
      <c r="Y798" s="204"/>
      <c r="Z798" s="204"/>
    </row>
    <row r="799" spans="21:26" ht="15.75" customHeight="1" x14ac:dyDescent="0.35">
      <c r="U799" s="204"/>
      <c r="V799" s="204"/>
      <c r="W799" s="204"/>
      <c r="X799" s="204"/>
      <c r="Y799" s="204"/>
      <c r="Z799" s="204"/>
    </row>
    <row r="800" spans="21:26" ht="15.75" customHeight="1" x14ac:dyDescent="0.35">
      <c r="U800" s="204"/>
      <c r="V800" s="204"/>
      <c r="W800" s="204"/>
      <c r="X800" s="204"/>
      <c r="Y800" s="204"/>
      <c r="Z800" s="204"/>
    </row>
    <row r="801" spans="21:26" ht="15.75" customHeight="1" x14ac:dyDescent="0.35">
      <c r="U801" s="204"/>
      <c r="V801" s="204"/>
      <c r="W801" s="204"/>
      <c r="X801" s="204"/>
      <c r="Y801" s="204"/>
      <c r="Z801" s="204"/>
    </row>
    <row r="802" spans="21:26" ht="15.75" customHeight="1" x14ac:dyDescent="0.35">
      <c r="U802" s="204"/>
      <c r="V802" s="204"/>
      <c r="W802" s="204"/>
      <c r="X802" s="204"/>
      <c r="Y802" s="204"/>
      <c r="Z802" s="204"/>
    </row>
    <row r="803" spans="21:26" ht="15.75" customHeight="1" x14ac:dyDescent="0.35">
      <c r="U803" s="204"/>
      <c r="V803" s="204"/>
      <c r="W803" s="204"/>
      <c r="X803" s="204"/>
      <c r="Y803" s="204"/>
      <c r="Z803" s="204"/>
    </row>
    <row r="804" spans="21:26" ht="15.75" customHeight="1" x14ac:dyDescent="0.35">
      <c r="U804" s="204"/>
      <c r="V804" s="204"/>
      <c r="W804" s="204"/>
      <c r="X804" s="204"/>
      <c r="Y804" s="204"/>
      <c r="Z804" s="204"/>
    </row>
    <row r="805" spans="21:26" ht="15.75" customHeight="1" x14ac:dyDescent="0.35">
      <c r="U805" s="204"/>
      <c r="V805" s="204"/>
      <c r="W805" s="204"/>
      <c r="X805" s="204"/>
      <c r="Y805" s="204"/>
      <c r="Z805" s="204"/>
    </row>
    <row r="806" spans="21:26" ht="15.75" customHeight="1" x14ac:dyDescent="0.35">
      <c r="U806" s="204"/>
      <c r="V806" s="204"/>
      <c r="W806" s="204"/>
      <c r="X806" s="204"/>
      <c r="Y806" s="204"/>
      <c r="Z806" s="204"/>
    </row>
    <row r="807" spans="21:26" ht="15.75" customHeight="1" x14ac:dyDescent="0.35">
      <c r="U807" s="204"/>
      <c r="V807" s="204"/>
      <c r="W807" s="204"/>
      <c r="X807" s="204"/>
      <c r="Y807" s="204"/>
      <c r="Z807" s="204"/>
    </row>
    <row r="808" spans="21:26" ht="15.75" customHeight="1" x14ac:dyDescent="0.35">
      <c r="U808" s="204"/>
      <c r="V808" s="204"/>
      <c r="W808" s="204"/>
      <c r="X808" s="204"/>
      <c r="Y808" s="204"/>
      <c r="Z808" s="204"/>
    </row>
    <row r="809" spans="21:26" ht="15.75" customHeight="1" x14ac:dyDescent="0.35">
      <c r="U809" s="204"/>
      <c r="V809" s="204"/>
      <c r="W809" s="204"/>
      <c r="X809" s="204"/>
      <c r="Y809" s="204"/>
      <c r="Z809" s="204"/>
    </row>
    <row r="810" spans="21:26" ht="15.75" customHeight="1" x14ac:dyDescent="0.35">
      <c r="U810" s="204"/>
      <c r="V810" s="204"/>
      <c r="W810" s="204"/>
      <c r="X810" s="204"/>
      <c r="Y810" s="204"/>
      <c r="Z810" s="204"/>
    </row>
    <row r="811" spans="21:26" ht="15.75" customHeight="1" x14ac:dyDescent="0.35">
      <c r="U811" s="204"/>
      <c r="V811" s="204"/>
      <c r="W811" s="204"/>
      <c r="X811" s="204"/>
      <c r="Y811" s="204"/>
      <c r="Z811" s="204"/>
    </row>
    <row r="812" spans="21:26" ht="15.75" customHeight="1" x14ac:dyDescent="0.35">
      <c r="U812" s="204"/>
      <c r="V812" s="204"/>
      <c r="W812" s="204"/>
      <c r="X812" s="204"/>
      <c r="Y812" s="204"/>
      <c r="Z812" s="204"/>
    </row>
    <row r="813" spans="21:26" ht="15.75" customHeight="1" x14ac:dyDescent="0.35">
      <c r="U813" s="204"/>
      <c r="V813" s="204"/>
      <c r="W813" s="204"/>
      <c r="X813" s="204"/>
      <c r="Y813" s="204"/>
      <c r="Z813" s="204"/>
    </row>
    <row r="814" spans="21:26" ht="15.75" customHeight="1" x14ac:dyDescent="0.35">
      <c r="U814" s="204"/>
      <c r="V814" s="204"/>
      <c r="W814" s="204"/>
      <c r="X814" s="204"/>
      <c r="Y814" s="204"/>
      <c r="Z814" s="204"/>
    </row>
    <row r="815" spans="21:26" ht="15.75" customHeight="1" x14ac:dyDescent="0.35">
      <c r="U815" s="204"/>
      <c r="V815" s="204"/>
      <c r="W815" s="204"/>
      <c r="X815" s="204"/>
      <c r="Y815" s="204"/>
      <c r="Z815" s="204"/>
    </row>
    <row r="816" spans="21:26" ht="15.75" customHeight="1" x14ac:dyDescent="0.35">
      <c r="U816" s="204"/>
      <c r="V816" s="204"/>
      <c r="W816" s="204"/>
      <c r="X816" s="204"/>
      <c r="Y816" s="204"/>
      <c r="Z816" s="204"/>
    </row>
    <row r="817" spans="21:26" ht="15.75" customHeight="1" x14ac:dyDescent="0.35">
      <c r="U817" s="204"/>
      <c r="V817" s="204"/>
      <c r="W817" s="204"/>
      <c r="X817" s="204"/>
      <c r="Y817" s="204"/>
      <c r="Z817" s="204"/>
    </row>
    <row r="818" spans="21:26" ht="15.75" customHeight="1" x14ac:dyDescent="0.35">
      <c r="U818" s="204"/>
      <c r="V818" s="204"/>
      <c r="W818" s="204"/>
      <c r="X818" s="204"/>
      <c r="Y818" s="204"/>
      <c r="Z818" s="204"/>
    </row>
    <row r="819" spans="21:26" ht="15.75" customHeight="1" x14ac:dyDescent="0.35">
      <c r="U819" s="204"/>
      <c r="V819" s="204"/>
      <c r="W819" s="204"/>
      <c r="X819" s="204"/>
      <c r="Y819" s="204"/>
      <c r="Z819" s="204"/>
    </row>
    <row r="820" spans="21:26" ht="15.75" customHeight="1" x14ac:dyDescent="0.35">
      <c r="U820" s="204"/>
      <c r="V820" s="204"/>
      <c r="W820" s="204"/>
      <c r="X820" s="204"/>
      <c r="Y820" s="204"/>
      <c r="Z820" s="204"/>
    </row>
    <row r="821" spans="21:26" ht="15.75" customHeight="1" x14ac:dyDescent="0.35">
      <c r="U821" s="204"/>
      <c r="V821" s="204"/>
      <c r="W821" s="204"/>
      <c r="X821" s="204"/>
      <c r="Y821" s="204"/>
      <c r="Z821" s="204"/>
    </row>
    <row r="822" spans="21:26" ht="15.75" customHeight="1" x14ac:dyDescent="0.35">
      <c r="U822" s="204"/>
      <c r="V822" s="204"/>
      <c r="W822" s="204"/>
      <c r="X822" s="204"/>
      <c r="Y822" s="204"/>
      <c r="Z822" s="204"/>
    </row>
    <row r="823" spans="21:26" ht="15.75" customHeight="1" x14ac:dyDescent="0.35">
      <c r="U823" s="204"/>
      <c r="V823" s="204"/>
      <c r="W823" s="204"/>
      <c r="X823" s="204"/>
      <c r="Y823" s="204"/>
      <c r="Z823" s="204"/>
    </row>
    <row r="824" spans="21:26" ht="15.75" customHeight="1" x14ac:dyDescent="0.35">
      <c r="U824" s="204"/>
      <c r="V824" s="204"/>
      <c r="W824" s="204"/>
      <c r="X824" s="204"/>
      <c r="Y824" s="204"/>
      <c r="Z824" s="204"/>
    </row>
    <row r="825" spans="21:26" ht="15.75" customHeight="1" x14ac:dyDescent="0.35">
      <c r="U825" s="204"/>
      <c r="V825" s="204"/>
      <c r="W825" s="204"/>
      <c r="X825" s="204"/>
      <c r="Y825" s="204"/>
      <c r="Z825" s="204"/>
    </row>
    <row r="826" spans="21:26" ht="15.75" customHeight="1" x14ac:dyDescent="0.35">
      <c r="U826" s="204"/>
      <c r="V826" s="204"/>
      <c r="W826" s="204"/>
      <c r="X826" s="204"/>
      <c r="Y826" s="204"/>
      <c r="Z826" s="204"/>
    </row>
    <row r="827" spans="21:26" ht="15.75" customHeight="1" x14ac:dyDescent="0.35">
      <c r="U827" s="204"/>
      <c r="V827" s="204"/>
      <c r="W827" s="204"/>
      <c r="X827" s="204"/>
      <c r="Y827" s="204"/>
      <c r="Z827" s="204"/>
    </row>
    <row r="828" spans="21:26" ht="15.75" customHeight="1" x14ac:dyDescent="0.35">
      <c r="U828" s="204"/>
      <c r="V828" s="204"/>
      <c r="W828" s="204"/>
      <c r="X828" s="204"/>
      <c r="Y828" s="204"/>
      <c r="Z828" s="204"/>
    </row>
    <row r="829" spans="21:26" ht="15.75" customHeight="1" x14ac:dyDescent="0.35">
      <c r="U829" s="204"/>
      <c r="V829" s="204"/>
      <c r="W829" s="204"/>
      <c r="X829" s="204"/>
      <c r="Y829" s="204"/>
      <c r="Z829" s="204"/>
    </row>
    <row r="830" spans="21:26" ht="15.75" customHeight="1" x14ac:dyDescent="0.35">
      <c r="U830" s="204"/>
      <c r="V830" s="204"/>
      <c r="W830" s="204"/>
      <c r="X830" s="204"/>
      <c r="Y830" s="204"/>
      <c r="Z830" s="204"/>
    </row>
    <row r="831" spans="21:26" ht="15.75" customHeight="1" x14ac:dyDescent="0.35">
      <c r="U831" s="204"/>
      <c r="V831" s="204"/>
      <c r="W831" s="204"/>
      <c r="X831" s="204"/>
      <c r="Y831" s="204"/>
      <c r="Z831" s="204"/>
    </row>
    <row r="832" spans="21:26" ht="15.75" customHeight="1" x14ac:dyDescent="0.35">
      <c r="U832" s="204"/>
      <c r="V832" s="204"/>
      <c r="W832" s="204"/>
      <c r="X832" s="204"/>
      <c r="Y832" s="204"/>
      <c r="Z832" s="204"/>
    </row>
    <row r="833" spans="21:26" ht="15.75" customHeight="1" x14ac:dyDescent="0.35">
      <c r="U833" s="204"/>
      <c r="V833" s="204"/>
      <c r="W833" s="204"/>
      <c r="X833" s="204"/>
      <c r="Y833" s="204"/>
      <c r="Z833" s="204"/>
    </row>
    <row r="834" spans="21:26" ht="15.75" customHeight="1" x14ac:dyDescent="0.35">
      <c r="U834" s="204"/>
      <c r="V834" s="204"/>
      <c r="W834" s="204"/>
      <c r="X834" s="204"/>
      <c r="Y834" s="204"/>
      <c r="Z834" s="204"/>
    </row>
    <row r="835" spans="21:26" ht="15.75" customHeight="1" x14ac:dyDescent="0.35">
      <c r="U835" s="204"/>
      <c r="V835" s="204"/>
      <c r="W835" s="204"/>
      <c r="X835" s="204"/>
      <c r="Y835" s="204"/>
      <c r="Z835" s="204"/>
    </row>
    <row r="836" spans="21:26" ht="15.75" customHeight="1" x14ac:dyDescent="0.35">
      <c r="U836" s="204"/>
      <c r="V836" s="204"/>
      <c r="W836" s="204"/>
      <c r="X836" s="204"/>
      <c r="Y836" s="204"/>
      <c r="Z836" s="204"/>
    </row>
    <row r="837" spans="21:26" ht="15.75" customHeight="1" x14ac:dyDescent="0.35">
      <c r="U837" s="204"/>
      <c r="V837" s="204"/>
      <c r="W837" s="204"/>
      <c r="X837" s="204"/>
      <c r="Y837" s="204"/>
      <c r="Z837" s="204"/>
    </row>
    <row r="838" spans="21:26" ht="15.75" customHeight="1" x14ac:dyDescent="0.35">
      <c r="U838" s="204"/>
      <c r="V838" s="204"/>
      <c r="W838" s="204"/>
      <c r="X838" s="204"/>
      <c r="Y838" s="204"/>
      <c r="Z838" s="204"/>
    </row>
    <row r="839" spans="21:26" ht="15.75" customHeight="1" x14ac:dyDescent="0.35">
      <c r="U839" s="204"/>
      <c r="V839" s="204"/>
      <c r="W839" s="204"/>
      <c r="X839" s="204"/>
      <c r="Y839" s="204"/>
      <c r="Z839" s="204"/>
    </row>
    <row r="840" spans="21:26" ht="15.75" customHeight="1" x14ac:dyDescent="0.35">
      <c r="U840" s="204"/>
      <c r="V840" s="204"/>
      <c r="W840" s="204"/>
      <c r="X840" s="204"/>
      <c r="Y840" s="204"/>
      <c r="Z840" s="204"/>
    </row>
    <row r="841" spans="21:26" ht="15.75" customHeight="1" x14ac:dyDescent="0.35">
      <c r="U841" s="204"/>
      <c r="V841" s="204"/>
      <c r="W841" s="204"/>
      <c r="X841" s="204"/>
      <c r="Y841" s="204"/>
      <c r="Z841" s="204"/>
    </row>
    <row r="842" spans="21:26" ht="15.75" customHeight="1" x14ac:dyDescent="0.35">
      <c r="U842" s="204"/>
      <c r="V842" s="204"/>
      <c r="W842" s="204"/>
      <c r="X842" s="204"/>
      <c r="Y842" s="204"/>
      <c r="Z842" s="204"/>
    </row>
    <row r="843" spans="21:26" ht="15.75" customHeight="1" x14ac:dyDescent="0.35">
      <c r="U843" s="204"/>
      <c r="V843" s="204"/>
      <c r="W843" s="204"/>
      <c r="X843" s="204"/>
      <c r="Y843" s="204"/>
      <c r="Z843" s="204"/>
    </row>
    <row r="844" spans="21:26" ht="15.75" customHeight="1" x14ac:dyDescent="0.35">
      <c r="U844" s="204"/>
      <c r="V844" s="204"/>
      <c r="W844" s="204"/>
      <c r="X844" s="204"/>
      <c r="Y844" s="204"/>
      <c r="Z844" s="204"/>
    </row>
    <row r="845" spans="21:26" ht="15.75" customHeight="1" x14ac:dyDescent="0.35">
      <c r="U845" s="204"/>
      <c r="V845" s="204"/>
      <c r="W845" s="204"/>
      <c r="X845" s="204"/>
      <c r="Y845" s="204"/>
      <c r="Z845" s="204"/>
    </row>
    <row r="846" spans="21:26" ht="15.75" customHeight="1" x14ac:dyDescent="0.35">
      <c r="U846" s="204"/>
      <c r="V846" s="204"/>
      <c r="W846" s="204"/>
      <c r="X846" s="204"/>
      <c r="Y846" s="204"/>
      <c r="Z846" s="204"/>
    </row>
    <row r="847" spans="21:26" ht="15.75" customHeight="1" x14ac:dyDescent="0.35">
      <c r="U847" s="204"/>
      <c r="V847" s="204"/>
      <c r="W847" s="204"/>
      <c r="X847" s="204"/>
      <c r="Y847" s="204"/>
      <c r="Z847" s="204"/>
    </row>
    <row r="848" spans="21:26" ht="15.75" customHeight="1" x14ac:dyDescent="0.35">
      <c r="U848" s="204"/>
      <c r="V848" s="204"/>
      <c r="W848" s="204"/>
      <c r="X848" s="204"/>
      <c r="Y848" s="204"/>
      <c r="Z848" s="204"/>
    </row>
    <row r="849" spans="21:26" ht="15.75" customHeight="1" x14ac:dyDescent="0.35">
      <c r="U849" s="204"/>
      <c r="V849" s="204"/>
      <c r="W849" s="204"/>
      <c r="X849" s="204"/>
      <c r="Y849" s="204"/>
      <c r="Z849" s="204"/>
    </row>
    <row r="850" spans="21:26" ht="15.75" customHeight="1" x14ac:dyDescent="0.35">
      <c r="U850" s="204"/>
      <c r="V850" s="204"/>
      <c r="W850" s="204"/>
      <c r="X850" s="204"/>
      <c r="Y850" s="204"/>
      <c r="Z850" s="204"/>
    </row>
    <row r="851" spans="21:26" ht="15.75" customHeight="1" x14ac:dyDescent="0.35">
      <c r="U851" s="204"/>
      <c r="V851" s="204"/>
      <c r="W851" s="204"/>
      <c r="X851" s="204"/>
      <c r="Y851" s="204"/>
      <c r="Z851" s="204"/>
    </row>
    <row r="852" spans="21:26" ht="15.75" customHeight="1" x14ac:dyDescent="0.35">
      <c r="U852" s="204"/>
      <c r="V852" s="204"/>
      <c r="W852" s="204"/>
      <c r="X852" s="204"/>
      <c r="Y852" s="204"/>
      <c r="Z852" s="204"/>
    </row>
    <row r="853" spans="21:26" ht="15.75" customHeight="1" x14ac:dyDescent="0.35">
      <c r="U853" s="204"/>
      <c r="V853" s="204"/>
      <c r="W853" s="204"/>
      <c r="X853" s="204"/>
      <c r="Y853" s="204"/>
      <c r="Z853" s="204"/>
    </row>
    <row r="854" spans="21:26" ht="15.75" customHeight="1" x14ac:dyDescent="0.35">
      <c r="U854" s="204"/>
      <c r="V854" s="204"/>
      <c r="W854" s="204"/>
      <c r="X854" s="204"/>
      <c r="Y854" s="204"/>
      <c r="Z854" s="204"/>
    </row>
    <row r="855" spans="21:26" ht="15.75" customHeight="1" x14ac:dyDescent="0.35">
      <c r="U855" s="204"/>
      <c r="V855" s="204"/>
      <c r="W855" s="204"/>
      <c r="X855" s="204"/>
      <c r="Y855" s="204"/>
      <c r="Z855" s="204"/>
    </row>
    <row r="856" spans="21:26" ht="15.75" customHeight="1" x14ac:dyDescent="0.35">
      <c r="U856" s="204"/>
      <c r="V856" s="204"/>
      <c r="W856" s="204"/>
      <c r="X856" s="204"/>
      <c r="Y856" s="204"/>
      <c r="Z856" s="204"/>
    </row>
    <row r="857" spans="21:26" ht="15.75" customHeight="1" x14ac:dyDescent="0.35">
      <c r="U857" s="204"/>
      <c r="V857" s="204"/>
      <c r="W857" s="204"/>
      <c r="X857" s="204"/>
      <c r="Y857" s="204"/>
      <c r="Z857" s="204"/>
    </row>
    <row r="858" spans="21:26" ht="15.75" customHeight="1" x14ac:dyDescent="0.35">
      <c r="U858" s="204"/>
      <c r="V858" s="204"/>
      <c r="W858" s="204"/>
      <c r="X858" s="204"/>
      <c r="Y858" s="204"/>
      <c r="Z858" s="204"/>
    </row>
    <row r="859" spans="21:26" ht="15.75" customHeight="1" x14ac:dyDescent="0.35">
      <c r="U859" s="204"/>
      <c r="V859" s="204"/>
      <c r="W859" s="204"/>
      <c r="X859" s="204"/>
      <c r="Y859" s="204"/>
      <c r="Z859" s="204"/>
    </row>
    <row r="860" spans="21:26" ht="15.75" customHeight="1" x14ac:dyDescent="0.35">
      <c r="U860" s="204"/>
      <c r="V860" s="204"/>
      <c r="W860" s="204"/>
      <c r="X860" s="204"/>
      <c r="Y860" s="204"/>
      <c r="Z860" s="204"/>
    </row>
    <row r="861" spans="21:26" ht="15.75" customHeight="1" x14ac:dyDescent="0.35">
      <c r="U861" s="204"/>
      <c r="V861" s="204"/>
      <c r="W861" s="204"/>
      <c r="X861" s="204"/>
      <c r="Y861" s="204"/>
      <c r="Z861" s="204"/>
    </row>
    <row r="862" spans="21:26" ht="15.75" customHeight="1" x14ac:dyDescent="0.35">
      <c r="U862" s="204"/>
      <c r="V862" s="204"/>
      <c r="W862" s="204"/>
      <c r="X862" s="204"/>
      <c r="Y862" s="204"/>
      <c r="Z862" s="204"/>
    </row>
    <row r="863" spans="21:26" ht="15.75" customHeight="1" x14ac:dyDescent="0.35">
      <c r="U863" s="204"/>
      <c r="V863" s="204"/>
      <c r="W863" s="204"/>
      <c r="X863" s="204"/>
      <c r="Y863" s="204"/>
      <c r="Z863" s="204"/>
    </row>
    <row r="864" spans="21:26" ht="15.75" customHeight="1" x14ac:dyDescent="0.35">
      <c r="U864" s="204"/>
      <c r="V864" s="204"/>
      <c r="W864" s="204"/>
      <c r="X864" s="204"/>
      <c r="Y864" s="204"/>
      <c r="Z864" s="204"/>
    </row>
    <row r="865" spans="21:26" ht="15.75" customHeight="1" x14ac:dyDescent="0.35">
      <c r="U865" s="204"/>
      <c r="V865" s="204"/>
      <c r="W865" s="204"/>
      <c r="X865" s="204"/>
      <c r="Y865" s="204"/>
      <c r="Z865" s="204"/>
    </row>
    <row r="866" spans="21:26" ht="15.75" customHeight="1" x14ac:dyDescent="0.35">
      <c r="U866" s="204"/>
      <c r="V866" s="204"/>
      <c r="W866" s="204"/>
      <c r="X866" s="204"/>
      <c r="Y866" s="204"/>
      <c r="Z866" s="204"/>
    </row>
    <row r="867" spans="21:26" ht="15.75" customHeight="1" x14ac:dyDescent="0.35">
      <c r="U867" s="204"/>
      <c r="V867" s="204"/>
      <c r="W867" s="204"/>
      <c r="X867" s="204"/>
      <c r="Y867" s="204"/>
      <c r="Z867" s="204"/>
    </row>
    <row r="868" spans="21:26" ht="15.75" customHeight="1" x14ac:dyDescent="0.35">
      <c r="U868" s="204"/>
      <c r="V868" s="204"/>
      <c r="W868" s="204"/>
      <c r="X868" s="204"/>
      <c r="Y868" s="204"/>
      <c r="Z868" s="204"/>
    </row>
    <row r="869" spans="21:26" ht="15.75" customHeight="1" x14ac:dyDescent="0.35">
      <c r="U869" s="204"/>
      <c r="V869" s="204"/>
      <c r="W869" s="204"/>
      <c r="X869" s="204"/>
      <c r="Y869" s="204"/>
      <c r="Z869" s="204"/>
    </row>
    <row r="870" spans="21:26" ht="15.75" customHeight="1" x14ac:dyDescent="0.35">
      <c r="U870" s="204"/>
      <c r="V870" s="204"/>
      <c r="W870" s="204"/>
      <c r="X870" s="204"/>
      <c r="Y870" s="204"/>
      <c r="Z870" s="204"/>
    </row>
    <row r="871" spans="21:26" ht="15.75" customHeight="1" x14ac:dyDescent="0.35">
      <c r="U871" s="204"/>
      <c r="V871" s="204"/>
      <c r="W871" s="204"/>
      <c r="X871" s="204"/>
      <c r="Y871" s="204"/>
      <c r="Z871" s="204"/>
    </row>
    <row r="872" spans="21:26" ht="15.75" customHeight="1" x14ac:dyDescent="0.35">
      <c r="U872" s="204"/>
      <c r="V872" s="204"/>
      <c r="W872" s="204"/>
      <c r="X872" s="204"/>
      <c r="Y872" s="204"/>
      <c r="Z872" s="204"/>
    </row>
    <row r="873" spans="21:26" ht="15.75" customHeight="1" x14ac:dyDescent="0.35">
      <c r="U873" s="204"/>
      <c r="V873" s="204"/>
      <c r="W873" s="204"/>
      <c r="X873" s="204"/>
      <c r="Y873" s="204"/>
      <c r="Z873" s="204"/>
    </row>
    <row r="874" spans="21:26" ht="15.75" customHeight="1" x14ac:dyDescent="0.35">
      <c r="U874" s="204"/>
      <c r="V874" s="204"/>
      <c r="W874" s="204"/>
      <c r="X874" s="204"/>
      <c r="Y874" s="204"/>
      <c r="Z874" s="204"/>
    </row>
    <row r="875" spans="21:26" ht="15.75" customHeight="1" x14ac:dyDescent="0.35">
      <c r="U875" s="204"/>
      <c r="V875" s="204"/>
      <c r="W875" s="204"/>
      <c r="X875" s="204"/>
      <c r="Y875" s="204"/>
      <c r="Z875" s="204"/>
    </row>
    <row r="876" spans="21:26" ht="15.75" customHeight="1" x14ac:dyDescent="0.35">
      <c r="U876" s="204"/>
      <c r="V876" s="204"/>
      <c r="W876" s="204"/>
      <c r="X876" s="204"/>
      <c r="Y876" s="204"/>
      <c r="Z876" s="204"/>
    </row>
    <row r="877" spans="21:26" ht="15.75" customHeight="1" x14ac:dyDescent="0.35">
      <c r="U877" s="204"/>
      <c r="V877" s="204"/>
      <c r="W877" s="204"/>
      <c r="X877" s="204"/>
      <c r="Y877" s="204"/>
      <c r="Z877" s="204"/>
    </row>
    <row r="878" spans="21:26" ht="15.75" customHeight="1" x14ac:dyDescent="0.35">
      <c r="U878" s="204"/>
      <c r="V878" s="204"/>
      <c r="W878" s="204"/>
      <c r="X878" s="204"/>
      <c r="Y878" s="204"/>
      <c r="Z878" s="204"/>
    </row>
    <row r="879" spans="21:26" ht="15.75" customHeight="1" x14ac:dyDescent="0.35">
      <c r="U879" s="204"/>
      <c r="V879" s="204"/>
      <c r="W879" s="204"/>
      <c r="X879" s="204"/>
      <c r="Y879" s="204"/>
      <c r="Z879" s="204"/>
    </row>
    <row r="880" spans="21:26" ht="15.75" customHeight="1" x14ac:dyDescent="0.35">
      <c r="U880" s="204"/>
      <c r="V880" s="204"/>
      <c r="W880" s="204"/>
      <c r="X880" s="204"/>
      <c r="Y880" s="204"/>
      <c r="Z880" s="204"/>
    </row>
    <row r="881" spans="21:26" ht="15.75" customHeight="1" x14ac:dyDescent="0.35">
      <c r="U881" s="204"/>
      <c r="V881" s="204"/>
      <c r="W881" s="204"/>
      <c r="X881" s="204"/>
      <c r="Y881" s="204"/>
      <c r="Z881" s="204"/>
    </row>
    <row r="882" spans="21:26" ht="15.75" customHeight="1" x14ac:dyDescent="0.35">
      <c r="U882" s="204"/>
      <c r="V882" s="204"/>
      <c r="W882" s="204"/>
      <c r="X882" s="204"/>
      <c r="Y882" s="204"/>
      <c r="Z882" s="204"/>
    </row>
    <row r="883" spans="21:26" ht="15.75" customHeight="1" x14ac:dyDescent="0.35">
      <c r="U883" s="204"/>
      <c r="V883" s="204"/>
      <c r="W883" s="204"/>
      <c r="X883" s="204"/>
      <c r="Y883" s="204"/>
      <c r="Z883" s="204"/>
    </row>
    <row r="884" spans="21:26" ht="15.75" customHeight="1" x14ac:dyDescent="0.35">
      <c r="U884" s="204"/>
      <c r="V884" s="204"/>
      <c r="W884" s="204"/>
      <c r="X884" s="204"/>
      <c r="Y884" s="204"/>
      <c r="Z884" s="204"/>
    </row>
    <row r="885" spans="21:26" ht="15.75" customHeight="1" x14ac:dyDescent="0.35">
      <c r="U885" s="204"/>
      <c r="V885" s="204"/>
      <c r="W885" s="204"/>
      <c r="X885" s="204"/>
      <c r="Y885" s="204"/>
      <c r="Z885" s="204"/>
    </row>
    <row r="886" spans="21:26" ht="15.75" customHeight="1" x14ac:dyDescent="0.35">
      <c r="U886" s="204"/>
      <c r="V886" s="204"/>
      <c r="W886" s="204"/>
      <c r="X886" s="204"/>
      <c r="Y886" s="204"/>
      <c r="Z886" s="204"/>
    </row>
    <row r="887" spans="21:26" ht="15.75" customHeight="1" x14ac:dyDescent="0.35">
      <c r="U887" s="204"/>
      <c r="V887" s="204"/>
      <c r="W887" s="204"/>
      <c r="X887" s="204"/>
      <c r="Y887" s="204"/>
      <c r="Z887" s="204"/>
    </row>
    <row r="888" spans="21:26" ht="15.75" customHeight="1" x14ac:dyDescent="0.35">
      <c r="U888" s="204"/>
      <c r="V888" s="204"/>
      <c r="W888" s="204"/>
      <c r="X888" s="204"/>
      <c r="Y888" s="204"/>
      <c r="Z888" s="204"/>
    </row>
    <row r="889" spans="21:26" ht="15.75" customHeight="1" x14ac:dyDescent="0.35">
      <c r="U889" s="204"/>
      <c r="V889" s="204"/>
      <c r="W889" s="204"/>
      <c r="X889" s="204"/>
      <c r="Y889" s="204"/>
      <c r="Z889" s="204"/>
    </row>
    <row r="890" spans="21:26" ht="15.75" customHeight="1" x14ac:dyDescent="0.35">
      <c r="U890" s="204"/>
      <c r="V890" s="204"/>
      <c r="W890" s="204"/>
      <c r="X890" s="204"/>
      <c r="Y890" s="204"/>
      <c r="Z890" s="204"/>
    </row>
    <row r="891" spans="21:26" ht="15.75" customHeight="1" x14ac:dyDescent="0.35">
      <c r="U891" s="204"/>
      <c r="V891" s="204"/>
      <c r="W891" s="204"/>
      <c r="X891" s="204"/>
      <c r="Y891" s="204"/>
      <c r="Z891" s="204"/>
    </row>
    <row r="892" spans="21:26" ht="15.75" customHeight="1" x14ac:dyDescent="0.35">
      <c r="U892" s="204"/>
      <c r="V892" s="204"/>
      <c r="W892" s="204"/>
      <c r="X892" s="204"/>
      <c r="Y892" s="204"/>
      <c r="Z892" s="204"/>
    </row>
    <row r="893" spans="21:26" ht="15.75" customHeight="1" x14ac:dyDescent="0.35">
      <c r="U893" s="204"/>
      <c r="V893" s="204"/>
      <c r="W893" s="204"/>
      <c r="X893" s="204"/>
      <c r="Y893" s="204"/>
      <c r="Z893" s="204"/>
    </row>
    <row r="894" spans="21:26" ht="15.75" customHeight="1" x14ac:dyDescent="0.35">
      <c r="U894" s="204"/>
      <c r="V894" s="204"/>
      <c r="W894" s="204"/>
      <c r="X894" s="204"/>
      <c r="Y894" s="204"/>
      <c r="Z894" s="204"/>
    </row>
    <row r="895" spans="21:26" ht="15.75" customHeight="1" x14ac:dyDescent="0.35">
      <c r="U895" s="204"/>
      <c r="V895" s="204"/>
      <c r="W895" s="204"/>
      <c r="X895" s="204"/>
      <c r="Y895" s="204"/>
      <c r="Z895" s="204"/>
    </row>
    <row r="896" spans="21:26" ht="15.75" customHeight="1" x14ac:dyDescent="0.35">
      <c r="U896" s="204"/>
      <c r="V896" s="204"/>
      <c r="W896" s="204"/>
      <c r="X896" s="204"/>
      <c r="Y896" s="204"/>
      <c r="Z896" s="204"/>
    </row>
    <row r="897" spans="21:26" ht="15.75" customHeight="1" x14ac:dyDescent="0.35">
      <c r="U897" s="204"/>
      <c r="V897" s="204"/>
      <c r="W897" s="204"/>
      <c r="X897" s="204"/>
      <c r="Y897" s="204"/>
      <c r="Z897" s="204"/>
    </row>
    <row r="898" spans="21:26" ht="15.75" customHeight="1" x14ac:dyDescent="0.35">
      <c r="U898" s="204"/>
      <c r="V898" s="204"/>
      <c r="W898" s="204"/>
      <c r="X898" s="204"/>
      <c r="Y898" s="204"/>
      <c r="Z898" s="204"/>
    </row>
    <row r="899" spans="21:26" ht="15.75" customHeight="1" x14ac:dyDescent="0.35">
      <c r="U899" s="204"/>
      <c r="V899" s="204"/>
      <c r="W899" s="204"/>
      <c r="X899" s="204"/>
      <c r="Y899" s="204"/>
      <c r="Z899" s="204"/>
    </row>
    <row r="900" spans="21:26" ht="15.75" customHeight="1" x14ac:dyDescent="0.35">
      <c r="U900" s="204"/>
      <c r="V900" s="204"/>
      <c r="W900" s="204"/>
      <c r="X900" s="204"/>
      <c r="Y900" s="204"/>
      <c r="Z900" s="204"/>
    </row>
    <row r="901" spans="21:26" ht="15.75" customHeight="1" x14ac:dyDescent="0.35">
      <c r="U901" s="204"/>
      <c r="V901" s="204"/>
      <c r="W901" s="204"/>
      <c r="X901" s="204"/>
      <c r="Y901" s="204"/>
      <c r="Z901" s="204"/>
    </row>
    <row r="902" spans="21:26" ht="15.75" customHeight="1" x14ac:dyDescent="0.35">
      <c r="U902" s="204"/>
      <c r="V902" s="204"/>
      <c r="W902" s="204"/>
      <c r="X902" s="204"/>
      <c r="Y902" s="204"/>
      <c r="Z902" s="204"/>
    </row>
    <row r="903" spans="21:26" ht="15.75" customHeight="1" x14ac:dyDescent="0.35">
      <c r="U903" s="204"/>
      <c r="V903" s="204"/>
      <c r="W903" s="204"/>
      <c r="X903" s="204"/>
      <c r="Y903" s="204"/>
      <c r="Z903" s="204"/>
    </row>
    <row r="904" spans="21:26" ht="15.75" customHeight="1" x14ac:dyDescent="0.35">
      <c r="U904" s="204"/>
      <c r="V904" s="204"/>
      <c r="W904" s="204"/>
      <c r="X904" s="204"/>
      <c r="Y904" s="204"/>
      <c r="Z904" s="204"/>
    </row>
    <row r="905" spans="21:26" ht="15.75" customHeight="1" x14ac:dyDescent="0.35">
      <c r="U905" s="204"/>
      <c r="V905" s="204"/>
      <c r="W905" s="204"/>
      <c r="X905" s="204"/>
      <c r="Y905" s="204"/>
      <c r="Z905" s="204"/>
    </row>
    <row r="906" spans="21:26" ht="15.75" customHeight="1" x14ac:dyDescent="0.35">
      <c r="U906" s="204"/>
      <c r="V906" s="204"/>
      <c r="W906" s="204"/>
      <c r="X906" s="204"/>
      <c r="Y906" s="204"/>
      <c r="Z906" s="204"/>
    </row>
    <row r="907" spans="21:26" ht="15.75" customHeight="1" x14ac:dyDescent="0.35">
      <c r="U907" s="204"/>
      <c r="V907" s="204"/>
      <c r="W907" s="204"/>
      <c r="X907" s="204"/>
      <c r="Y907" s="204"/>
      <c r="Z907" s="204"/>
    </row>
    <row r="908" spans="21:26" ht="15.75" customHeight="1" x14ac:dyDescent="0.35">
      <c r="U908" s="204"/>
      <c r="V908" s="204"/>
      <c r="W908" s="204"/>
      <c r="X908" s="204"/>
      <c r="Y908" s="204"/>
      <c r="Z908" s="204"/>
    </row>
    <row r="909" spans="21:26" ht="15.75" customHeight="1" x14ac:dyDescent="0.35">
      <c r="U909" s="204"/>
      <c r="V909" s="204"/>
      <c r="W909" s="204"/>
      <c r="X909" s="204"/>
      <c r="Y909" s="204"/>
      <c r="Z909" s="204"/>
    </row>
    <row r="910" spans="21:26" ht="15.75" customHeight="1" x14ac:dyDescent="0.35">
      <c r="U910" s="204"/>
      <c r="V910" s="204"/>
      <c r="W910" s="204"/>
      <c r="X910" s="204"/>
      <c r="Y910" s="204"/>
      <c r="Z910" s="204"/>
    </row>
    <row r="911" spans="21:26" ht="15.75" customHeight="1" x14ac:dyDescent="0.35">
      <c r="U911" s="204"/>
      <c r="V911" s="204"/>
      <c r="W911" s="204"/>
      <c r="X911" s="204"/>
      <c r="Y911" s="204"/>
      <c r="Z911" s="204"/>
    </row>
    <row r="912" spans="21:26" ht="15.75" customHeight="1" x14ac:dyDescent="0.35">
      <c r="U912" s="204"/>
      <c r="V912" s="204"/>
      <c r="W912" s="204"/>
      <c r="X912" s="204"/>
      <c r="Y912" s="204"/>
      <c r="Z912" s="204"/>
    </row>
    <row r="913" spans="21:26" ht="15.75" customHeight="1" x14ac:dyDescent="0.35">
      <c r="U913" s="204"/>
      <c r="V913" s="204"/>
      <c r="W913" s="204"/>
      <c r="X913" s="204"/>
      <c r="Y913" s="204"/>
      <c r="Z913" s="204"/>
    </row>
    <row r="914" spans="21:26" ht="15.75" customHeight="1" x14ac:dyDescent="0.35">
      <c r="U914" s="204"/>
      <c r="V914" s="204"/>
      <c r="W914" s="204"/>
      <c r="X914" s="204"/>
      <c r="Y914" s="204"/>
      <c r="Z914" s="204"/>
    </row>
    <row r="915" spans="21:26" ht="15.75" customHeight="1" x14ac:dyDescent="0.35">
      <c r="U915" s="204"/>
      <c r="V915" s="204"/>
      <c r="W915" s="204"/>
      <c r="X915" s="204"/>
      <c r="Y915" s="204"/>
      <c r="Z915" s="204"/>
    </row>
    <row r="916" spans="21:26" ht="15.75" customHeight="1" x14ac:dyDescent="0.35">
      <c r="U916" s="204"/>
      <c r="V916" s="204"/>
      <c r="W916" s="204"/>
      <c r="X916" s="204"/>
      <c r="Y916" s="204"/>
      <c r="Z916" s="204"/>
    </row>
    <row r="917" spans="21:26" ht="15.75" customHeight="1" x14ac:dyDescent="0.35">
      <c r="U917" s="204"/>
      <c r="V917" s="204"/>
      <c r="W917" s="204"/>
      <c r="X917" s="204"/>
      <c r="Y917" s="204"/>
      <c r="Z917" s="204"/>
    </row>
    <row r="918" spans="21:26" ht="15.75" customHeight="1" x14ac:dyDescent="0.35">
      <c r="U918" s="204"/>
      <c r="V918" s="204"/>
      <c r="W918" s="204"/>
      <c r="X918" s="204"/>
      <c r="Y918" s="204"/>
      <c r="Z918" s="204"/>
    </row>
    <row r="919" spans="21:26" ht="15.75" customHeight="1" x14ac:dyDescent="0.35">
      <c r="U919" s="204"/>
      <c r="V919" s="204"/>
      <c r="W919" s="204"/>
      <c r="X919" s="204"/>
      <c r="Y919" s="204"/>
      <c r="Z919" s="204"/>
    </row>
    <row r="920" spans="21:26" ht="15.75" customHeight="1" x14ac:dyDescent="0.35">
      <c r="U920" s="204"/>
      <c r="V920" s="204"/>
      <c r="W920" s="204"/>
      <c r="X920" s="204"/>
      <c r="Y920" s="204"/>
      <c r="Z920" s="204"/>
    </row>
    <row r="921" spans="21:26" ht="15.75" customHeight="1" x14ac:dyDescent="0.35">
      <c r="U921" s="204"/>
      <c r="V921" s="204"/>
      <c r="W921" s="204"/>
      <c r="X921" s="204"/>
      <c r="Y921" s="204"/>
      <c r="Z921" s="204"/>
    </row>
    <row r="922" spans="21:26" ht="15.75" customHeight="1" x14ac:dyDescent="0.35">
      <c r="U922" s="204"/>
      <c r="V922" s="204"/>
      <c r="W922" s="204"/>
      <c r="X922" s="204"/>
      <c r="Y922" s="204"/>
      <c r="Z922" s="204"/>
    </row>
    <row r="923" spans="21:26" ht="15.75" customHeight="1" x14ac:dyDescent="0.35">
      <c r="U923" s="204"/>
      <c r="V923" s="204"/>
      <c r="W923" s="204"/>
      <c r="X923" s="204"/>
      <c r="Y923" s="204"/>
      <c r="Z923" s="204"/>
    </row>
    <row r="924" spans="21:26" ht="15.75" customHeight="1" x14ac:dyDescent="0.35">
      <c r="U924" s="204"/>
      <c r="V924" s="204"/>
      <c r="W924" s="204"/>
      <c r="X924" s="204"/>
      <c r="Y924" s="204"/>
      <c r="Z924" s="204"/>
    </row>
    <row r="925" spans="21:26" ht="15.75" customHeight="1" x14ac:dyDescent="0.35">
      <c r="U925" s="204"/>
      <c r="V925" s="204"/>
      <c r="W925" s="204"/>
      <c r="X925" s="204"/>
      <c r="Y925" s="204"/>
      <c r="Z925" s="204"/>
    </row>
    <row r="926" spans="21:26" ht="15.75" customHeight="1" x14ac:dyDescent="0.35">
      <c r="U926" s="204"/>
      <c r="V926" s="204"/>
      <c r="W926" s="204"/>
      <c r="X926" s="204"/>
      <c r="Y926" s="204"/>
      <c r="Z926" s="204"/>
    </row>
    <row r="927" spans="21:26" ht="15.75" customHeight="1" x14ac:dyDescent="0.35">
      <c r="U927" s="204"/>
      <c r="V927" s="204"/>
      <c r="W927" s="204"/>
      <c r="X927" s="204"/>
      <c r="Y927" s="204"/>
      <c r="Z927" s="204"/>
    </row>
    <row r="928" spans="21:26" ht="15.75" customHeight="1" x14ac:dyDescent="0.35">
      <c r="U928" s="204"/>
      <c r="V928" s="204"/>
      <c r="W928" s="204"/>
      <c r="X928" s="204"/>
      <c r="Y928" s="204"/>
      <c r="Z928" s="204"/>
    </row>
    <row r="929" spans="21:26" ht="15.75" customHeight="1" x14ac:dyDescent="0.35">
      <c r="U929" s="204"/>
      <c r="V929" s="204"/>
      <c r="W929" s="204"/>
      <c r="X929" s="204"/>
      <c r="Y929" s="204"/>
      <c r="Z929" s="204"/>
    </row>
    <row r="930" spans="21:26" ht="15.75" customHeight="1" x14ac:dyDescent="0.35">
      <c r="U930" s="204"/>
      <c r="V930" s="204"/>
      <c r="W930" s="204"/>
      <c r="X930" s="204"/>
      <c r="Y930" s="204"/>
      <c r="Z930" s="204"/>
    </row>
    <row r="931" spans="21:26" ht="15.75" customHeight="1" x14ac:dyDescent="0.35">
      <c r="U931" s="204"/>
      <c r="V931" s="204"/>
      <c r="W931" s="204"/>
      <c r="X931" s="204"/>
      <c r="Y931" s="204"/>
      <c r="Z931" s="204"/>
    </row>
    <row r="932" spans="21:26" ht="15.75" customHeight="1" x14ac:dyDescent="0.35">
      <c r="U932" s="204"/>
      <c r="V932" s="204"/>
      <c r="W932" s="204"/>
      <c r="X932" s="204"/>
      <c r="Y932" s="204"/>
      <c r="Z932" s="204"/>
    </row>
    <row r="933" spans="21:26" ht="15.75" customHeight="1" x14ac:dyDescent="0.35">
      <c r="U933" s="204"/>
      <c r="V933" s="204"/>
      <c r="W933" s="204"/>
      <c r="X933" s="204"/>
      <c r="Y933" s="204"/>
      <c r="Z933" s="204"/>
    </row>
    <row r="934" spans="21:26" ht="15.75" customHeight="1" x14ac:dyDescent="0.35">
      <c r="U934" s="204"/>
      <c r="V934" s="204"/>
      <c r="W934" s="204"/>
      <c r="X934" s="204"/>
      <c r="Y934" s="204"/>
      <c r="Z934" s="204"/>
    </row>
    <row r="935" spans="21:26" ht="15.75" customHeight="1" x14ac:dyDescent="0.35">
      <c r="U935" s="204"/>
      <c r="V935" s="204"/>
      <c r="W935" s="204"/>
      <c r="X935" s="204"/>
      <c r="Y935" s="204"/>
      <c r="Z935" s="204"/>
    </row>
    <row r="936" spans="21:26" ht="15.75" customHeight="1" x14ac:dyDescent="0.35">
      <c r="U936" s="204"/>
      <c r="V936" s="204"/>
      <c r="W936" s="204"/>
      <c r="X936" s="204"/>
      <c r="Y936" s="204"/>
      <c r="Z936" s="204"/>
    </row>
    <row r="937" spans="21:26" ht="15.75" customHeight="1" x14ac:dyDescent="0.35">
      <c r="U937" s="204"/>
      <c r="V937" s="204"/>
      <c r="W937" s="204"/>
      <c r="X937" s="204"/>
      <c r="Y937" s="204"/>
      <c r="Z937" s="204"/>
    </row>
    <row r="938" spans="21:26" ht="15.75" customHeight="1" x14ac:dyDescent="0.35">
      <c r="U938" s="204"/>
      <c r="V938" s="204"/>
      <c r="W938" s="204"/>
      <c r="X938" s="204"/>
      <c r="Y938" s="204"/>
      <c r="Z938" s="204"/>
    </row>
    <row r="939" spans="21:26" ht="15.75" customHeight="1" x14ac:dyDescent="0.35">
      <c r="U939" s="204"/>
      <c r="V939" s="204"/>
      <c r="W939" s="204"/>
      <c r="X939" s="204"/>
      <c r="Y939" s="204"/>
      <c r="Z939" s="204"/>
    </row>
    <row r="940" spans="21:26" ht="15.75" customHeight="1" x14ac:dyDescent="0.35">
      <c r="U940" s="204"/>
      <c r="V940" s="204"/>
      <c r="W940" s="204"/>
      <c r="X940" s="204"/>
      <c r="Y940" s="204"/>
      <c r="Z940" s="204"/>
    </row>
    <row r="941" spans="21:26" ht="15.75" customHeight="1" x14ac:dyDescent="0.35">
      <c r="U941" s="204"/>
      <c r="V941" s="204"/>
      <c r="W941" s="204"/>
      <c r="X941" s="204"/>
      <c r="Y941" s="204"/>
      <c r="Z941" s="204"/>
    </row>
    <row r="942" spans="21:26" ht="15.75" customHeight="1" x14ac:dyDescent="0.35">
      <c r="U942" s="204"/>
      <c r="V942" s="204"/>
      <c r="W942" s="204"/>
      <c r="X942" s="204"/>
      <c r="Y942" s="204"/>
      <c r="Z942" s="204"/>
    </row>
    <row r="943" spans="21:26" ht="15.75" customHeight="1" x14ac:dyDescent="0.35">
      <c r="U943" s="204"/>
      <c r="V943" s="204"/>
      <c r="W943" s="204"/>
      <c r="X943" s="204"/>
      <c r="Y943" s="204"/>
      <c r="Z943" s="204"/>
    </row>
    <row r="944" spans="21:26" ht="15.75" customHeight="1" x14ac:dyDescent="0.35">
      <c r="U944" s="204"/>
      <c r="V944" s="204"/>
      <c r="W944" s="204"/>
      <c r="X944" s="204"/>
      <c r="Y944" s="204"/>
      <c r="Z944" s="204"/>
    </row>
    <row r="945" spans="21:26" ht="15.75" customHeight="1" x14ac:dyDescent="0.35">
      <c r="U945" s="204"/>
      <c r="V945" s="204"/>
      <c r="W945" s="204"/>
      <c r="X945" s="204"/>
      <c r="Y945" s="204"/>
      <c r="Z945" s="204"/>
    </row>
    <row r="946" spans="21:26" ht="15.75" customHeight="1" x14ac:dyDescent="0.35">
      <c r="U946" s="204"/>
      <c r="V946" s="204"/>
      <c r="W946" s="204"/>
      <c r="X946" s="204"/>
      <c r="Y946" s="204"/>
      <c r="Z946" s="204"/>
    </row>
    <row r="947" spans="21:26" ht="15.75" customHeight="1" x14ac:dyDescent="0.35">
      <c r="U947" s="204"/>
      <c r="V947" s="204"/>
      <c r="W947" s="204"/>
      <c r="X947" s="204"/>
      <c r="Y947" s="204"/>
      <c r="Z947" s="204"/>
    </row>
    <row r="948" spans="21:26" ht="15.75" customHeight="1" x14ac:dyDescent="0.35">
      <c r="U948" s="204"/>
      <c r="V948" s="204"/>
      <c r="W948" s="204"/>
      <c r="X948" s="204"/>
      <c r="Y948" s="204"/>
      <c r="Z948" s="204"/>
    </row>
    <row r="949" spans="21:26" ht="15.75" customHeight="1" x14ac:dyDescent="0.35">
      <c r="U949" s="204"/>
      <c r="V949" s="204"/>
      <c r="W949" s="204"/>
      <c r="X949" s="204"/>
      <c r="Y949" s="204"/>
      <c r="Z949" s="204"/>
    </row>
    <row r="950" spans="21:26" ht="15.75" customHeight="1" x14ac:dyDescent="0.35">
      <c r="U950" s="204"/>
      <c r="V950" s="204"/>
      <c r="W950" s="204"/>
      <c r="X950" s="204"/>
      <c r="Y950" s="204"/>
      <c r="Z950" s="204"/>
    </row>
    <row r="951" spans="21:26" ht="15.75" customHeight="1" x14ac:dyDescent="0.35">
      <c r="U951" s="204"/>
      <c r="V951" s="204"/>
      <c r="W951" s="204"/>
      <c r="X951" s="204"/>
      <c r="Y951" s="204"/>
      <c r="Z951" s="204"/>
    </row>
    <row r="952" spans="21:26" ht="15.75" customHeight="1" x14ac:dyDescent="0.35">
      <c r="U952" s="204"/>
      <c r="V952" s="204"/>
      <c r="W952" s="204"/>
      <c r="X952" s="204"/>
      <c r="Y952" s="204"/>
      <c r="Z952" s="204"/>
    </row>
    <row r="953" spans="21:26" ht="15.75" customHeight="1" x14ac:dyDescent="0.35">
      <c r="U953" s="204"/>
      <c r="V953" s="204"/>
      <c r="W953" s="204"/>
      <c r="X953" s="204"/>
      <c r="Y953" s="204"/>
      <c r="Z953" s="204"/>
    </row>
    <row r="954" spans="21:26" ht="15.75" customHeight="1" x14ac:dyDescent="0.35">
      <c r="U954" s="204"/>
      <c r="V954" s="204"/>
      <c r="W954" s="204"/>
      <c r="X954" s="204"/>
      <c r="Y954" s="204"/>
      <c r="Z954" s="204"/>
    </row>
    <row r="955" spans="21:26" ht="15.75" customHeight="1" x14ac:dyDescent="0.35">
      <c r="U955" s="204"/>
      <c r="V955" s="204"/>
      <c r="W955" s="204"/>
      <c r="X955" s="204"/>
      <c r="Y955" s="204"/>
      <c r="Z955" s="204"/>
    </row>
    <row r="956" spans="21:26" ht="15.75" customHeight="1" x14ac:dyDescent="0.35">
      <c r="U956" s="204"/>
      <c r="V956" s="204"/>
      <c r="W956" s="204"/>
      <c r="X956" s="204"/>
      <c r="Y956" s="204"/>
      <c r="Z956" s="204"/>
    </row>
    <row r="957" spans="21:26" ht="15.75" customHeight="1" x14ac:dyDescent="0.35">
      <c r="U957" s="204"/>
      <c r="V957" s="204"/>
      <c r="W957" s="204"/>
      <c r="X957" s="204"/>
      <c r="Y957" s="204"/>
      <c r="Z957" s="204"/>
    </row>
    <row r="958" spans="21:26" ht="15.75" customHeight="1" x14ac:dyDescent="0.35">
      <c r="U958" s="204"/>
      <c r="V958" s="204"/>
      <c r="W958" s="204"/>
      <c r="X958" s="204"/>
      <c r="Y958" s="204"/>
      <c r="Z958" s="204"/>
    </row>
    <row r="959" spans="21:26" ht="15.75" customHeight="1" x14ac:dyDescent="0.35">
      <c r="U959" s="204"/>
      <c r="V959" s="204"/>
      <c r="W959" s="204"/>
      <c r="X959" s="204"/>
      <c r="Y959" s="204"/>
      <c r="Z959" s="204"/>
    </row>
    <row r="960" spans="21:26" ht="15.75" customHeight="1" x14ac:dyDescent="0.35">
      <c r="U960" s="204"/>
      <c r="V960" s="204"/>
      <c r="W960" s="204"/>
      <c r="X960" s="204"/>
      <c r="Y960" s="204"/>
      <c r="Z960" s="204"/>
    </row>
    <row r="961" spans="21:26" ht="15.75" customHeight="1" x14ac:dyDescent="0.35">
      <c r="U961" s="204"/>
      <c r="V961" s="204"/>
      <c r="W961" s="204"/>
      <c r="X961" s="204"/>
      <c r="Y961" s="204"/>
      <c r="Z961" s="204"/>
    </row>
    <row r="962" spans="21:26" ht="15.75" customHeight="1" x14ac:dyDescent="0.35">
      <c r="U962" s="204"/>
      <c r="V962" s="204"/>
      <c r="W962" s="204"/>
      <c r="X962" s="204"/>
      <c r="Y962" s="204"/>
      <c r="Z962" s="204"/>
    </row>
    <row r="963" spans="21:26" ht="15.75" customHeight="1" x14ac:dyDescent="0.35">
      <c r="U963" s="204"/>
      <c r="V963" s="204"/>
      <c r="W963" s="204"/>
      <c r="X963" s="204"/>
      <c r="Y963" s="204"/>
      <c r="Z963" s="204"/>
    </row>
    <row r="964" spans="21:26" ht="15.75" customHeight="1" x14ac:dyDescent="0.35">
      <c r="U964" s="204"/>
      <c r="V964" s="204"/>
      <c r="W964" s="204"/>
      <c r="X964" s="204"/>
      <c r="Y964" s="204"/>
      <c r="Z964" s="204"/>
    </row>
    <row r="965" spans="21:26" ht="15.75" customHeight="1" x14ac:dyDescent="0.35">
      <c r="U965" s="204"/>
      <c r="V965" s="204"/>
      <c r="W965" s="204"/>
      <c r="X965" s="204"/>
      <c r="Y965" s="204"/>
      <c r="Z965" s="204"/>
    </row>
    <row r="966" spans="21:26" ht="15.75" customHeight="1" x14ac:dyDescent="0.35">
      <c r="U966" s="204"/>
      <c r="V966" s="204"/>
      <c r="W966" s="204"/>
      <c r="X966" s="204"/>
      <c r="Y966" s="204"/>
      <c r="Z966" s="204"/>
    </row>
    <row r="967" spans="21:26" ht="15.75" customHeight="1" x14ac:dyDescent="0.35">
      <c r="U967" s="204"/>
      <c r="V967" s="204"/>
      <c r="W967" s="204"/>
      <c r="X967" s="204"/>
      <c r="Y967" s="204"/>
      <c r="Z967" s="204"/>
    </row>
    <row r="968" spans="21:26" ht="15.75" customHeight="1" x14ac:dyDescent="0.35">
      <c r="U968" s="204"/>
      <c r="V968" s="204"/>
      <c r="W968" s="204"/>
      <c r="X968" s="204"/>
      <c r="Y968" s="204"/>
      <c r="Z968" s="204"/>
    </row>
    <row r="969" spans="21:26" ht="15.75" customHeight="1" x14ac:dyDescent="0.35">
      <c r="U969" s="204"/>
      <c r="V969" s="204"/>
      <c r="W969" s="204"/>
      <c r="X969" s="204"/>
      <c r="Y969" s="204"/>
      <c r="Z969" s="204"/>
    </row>
    <row r="970" spans="21:26" ht="15.75" customHeight="1" x14ac:dyDescent="0.35">
      <c r="U970" s="204"/>
      <c r="V970" s="204"/>
      <c r="W970" s="204"/>
      <c r="X970" s="204"/>
      <c r="Y970" s="204"/>
      <c r="Z970" s="204"/>
    </row>
    <row r="971" spans="21:26" ht="15.75" customHeight="1" x14ac:dyDescent="0.35">
      <c r="U971" s="204"/>
      <c r="V971" s="204"/>
      <c r="W971" s="204"/>
      <c r="X971" s="204"/>
      <c r="Y971" s="204"/>
      <c r="Z971" s="204"/>
    </row>
    <row r="972" spans="21:26" ht="15.75" customHeight="1" x14ac:dyDescent="0.35">
      <c r="U972" s="204"/>
      <c r="V972" s="204"/>
      <c r="W972" s="204"/>
      <c r="X972" s="204"/>
      <c r="Y972" s="204"/>
      <c r="Z972" s="204"/>
    </row>
    <row r="973" spans="21:26" ht="15.75" customHeight="1" x14ac:dyDescent="0.35">
      <c r="U973" s="204"/>
      <c r="V973" s="204"/>
      <c r="W973" s="204"/>
      <c r="X973" s="204"/>
      <c r="Y973" s="204"/>
      <c r="Z973" s="204"/>
    </row>
    <row r="974" spans="21:26" ht="15.75" customHeight="1" x14ac:dyDescent="0.35">
      <c r="U974" s="204"/>
      <c r="V974" s="204"/>
      <c r="W974" s="204"/>
      <c r="X974" s="204"/>
      <c r="Y974" s="204"/>
      <c r="Z974" s="204"/>
    </row>
    <row r="975" spans="21:26" ht="15.75" customHeight="1" x14ac:dyDescent="0.35">
      <c r="U975" s="204"/>
      <c r="V975" s="204"/>
      <c r="W975" s="204"/>
      <c r="X975" s="204"/>
      <c r="Y975" s="204"/>
      <c r="Z975" s="204"/>
    </row>
    <row r="976" spans="21:26" ht="15.75" customHeight="1" x14ac:dyDescent="0.35">
      <c r="U976" s="204"/>
      <c r="V976" s="204"/>
      <c r="W976" s="204"/>
      <c r="X976" s="204"/>
      <c r="Y976" s="204"/>
      <c r="Z976" s="204"/>
    </row>
    <row r="977" spans="21:26" ht="15.75" customHeight="1" x14ac:dyDescent="0.35">
      <c r="U977" s="204"/>
      <c r="V977" s="204"/>
      <c r="W977" s="204"/>
      <c r="X977" s="204"/>
      <c r="Y977" s="204"/>
      <c r="Z977" s="204"/>
    </row>
    <row r="978" spans="21:26" ht="15.75" customHeight="1" x14ac:dyDescent="0.35">
      <c r="U978" s="204"/>
      <c r="V978" s="204"/>
      <c r="W978" s="204"/>
      <c r="X978" s="204"/>
      <c r="Y978" s="204"/>
      <c r="Z978" s="204"/>
    </row>
    <row r="979" spans="21:26" ht="15.75" customHeight="1" x14ac:dyDescent="0.35">
      <c r="U979" s="204"/>
      <c r="V979" s="204"/>
      <c r="W979" s="204"/>
      <c r="X979" s="204"/>
      <c r="Y979" s="204"/>
      <c r="Z979" s="204"/>
    </row>
    <row r="980" spans="21:26" ht="15.75" customHeight="1" x14ac:dyDescent="0.35">
      <c r="U980" s="204"/>
      <c r="V980" s="204"/>
      <c r="W980" s="204"/>
      <c r="X980" s="204"/>
      <c r="Y980" s="204"/>
      <c r="Z980" s="204"/>
    </row>
    <row r="981" spans="21:26" ht="15.75" customHeight="1" x14ac:dyDescent="0.35">
      <c r="U981" s="204"/>
      <c r="V981" s="204"/>
      <c r="W981" s="204"/>
      <c r="X981" s="204"/>
      <c r="Y981" s="204"/>
      <c r="Z981" s="204"/>
    </row>
    <row r="982" spans="21:26" ht="15.75" customHeight="1" x14ac:dyDescent="0.35">
      <c r="U982" s="204"/>
      <c r="V982" s="204"/>
      <c r="W982" s="204"/>
      <c r="X982" s="204"/>
      <c r="Y982" s="204"/>
      <c r="Z982" s="204"/>
    </row>
    <row r="983" spans="21:26" ht="15.75" customHeight="1" x14ac:dyDescent="0.35">
      <c r="U983" s="204"/>
      <c r="V983" s="204"/>
      <c r="W983" s="204"/>
      <c r="X983" s="204"/>
      <c r="Y983" s="204"/>
      <c r="Z983" s="204"/>
    </row>
    <row r="984" spans="21:26" ht="15.75" customHeight="1" x14ac:dyDescent="0.35">
      <c r="U984" s="204"/>
      <c r="V984" s="204"/>
      <c r="W984" s="204"/>
      <c r="X984" s="204"/>
      <c r="Y984" s="204"/>
      <c r="Z984" s="204"/>
    </row>
    <row r="985" spans="21:26" ht="15.75" customHeight="1" x14ac:dyDescent="0.35">
      <c r="U985" s="204"/>
      <c r="V985" s="204"/>
      <c r="W985" s="204"/>
      <c r="X985" s="204"/>
      <c r="Y985" s="204"/>
      <c r="Z985" s="204"/>
    </row>
    <row r="986" spans="21:26" ht="15.75" customHeight="1" x14ac:dyDescent="0.35">
      <c r="U986" s="204"/>
      <c r="V986" s="204"/>
      <c r="W986" s="204"/>
      <c r="X986" s="204"/>
      <c r="Y986" s="204"/>
      <c r="Z986" s="204"/>
    </row>
    <row r="987" spans="21:26" ht="15.75" customHeight="1" x14ac:dyDescent="0.35">
      <c r="U987" s="204"/>
      <c r="V987" s="204"/>
      <c r="W987" s="204"/>
      <c r="X987" s="204"/>
      <c r="Y987" s="204"/>
      <c r="Z987" s="204"/>
    </row>
    <row r="988" spans="21:26" ht="15.75" customHeight="1" x14ac:dyDescent="0.35">
      <c r="U988" s="204"/>
      <c r="V988" s="204"/>
      <c r="W988" s="204"/>
      <c r="X988" s="204"/>
      <c r="Y988" s="204"/>
      <c r="Z988" s="204"/>
    </row>
    <row r="989" spans="21:26" ht="15.75" customHeight="1" x14ac:dyDescent="0.35">
      <c r="U989" s="204"/>
      <c r="V989" s="204"/>
      <c r="W989" s="204"/>
      <c r="X989" s="204"/>
      <c r="Y989" s="204"/>
      <c r="Z989" s="204"/>
    </row>
    <row r="990" spans="21:26" ht="15.75" customHeight="1" x14ac:dyDescent="0.35">
      <c r="U990" s="204"/>
      <c r="V990" s="204"/>
      <c r="W990" s="204"/>
      <c r="X990" s="204"/>
      <c r="Y990" s="204"/>
      <c r="Z990" s="204"/>
    </row>
    <row r="991" spans="21:26" ht="15.75" customHeight="1" x14ac:dyDescent="0.35">
      <c r="U991" s="204"/>
      <c r="V991" s="204"/>
      <c r="W991" s="204"/>
      <c r="X991" s="204"/>
      <c r="Y991" s="204"/>
      <c r="Z991" s="204"/>
    </row>
    <row r="992" spans="21:26" ht="15.75" customHeight="1" x14ac:dyDescent="0.35">
      <c r="U992" s="204"/>
      <c r="V992" s="204"/>
      <c r="W992" s="204"/>
      <c r="X992" s="204"/>
      <c r="Y992" s="204"/>
      <c r="Z992" s="204"/>
    </row>
    <row r="993" spans="21:26" ht="15.75" customHeight="1" x14ac:dyDescent="0.35">
      <c r="U993" s="204"/>
      <c r="V993" s="204"/>
      <c r="W993" s="204"/>
      <c r="X993" s="204"/>
      <c r="Y993" s="204"/>
      <c r="Z993" s="204"/>
    </row>
    <row r="994" spans="21:26" ht="15.75" customHeight="1" x14ac:dyDescent="0.35">
      <c r="U994" s="204"/>
      <c r="V994" s="204"/>
      <c r="W994" s="204"/>
      <c r="X994" s="204"/>
      <c r="Y994" s="204"/>
      <c r="Z994" s="204"/>
    </row>
    <row r="995" spans="21:26" ht="15.75" customHeight="1" x14ac:dyDescent="0.35">
      <c r="U995" s="204"/>
      <c r="V995" s="204"/>
      <c r="W995" s="204"/>
      <c r="X995" s="204"/>
      <c r="Y995" s="204"/>
      <c r="Z995" s="204"/>
    </row>
    <row r="996" spans="21:26" ht="15.75" customHeight="1" x14ac:dyDescent="0.35">
      <c r="U996" s="204"/>
      <c r="V996" s="204"/>
      <c r="W996" s="204"/>
      <c r="X996" s="204"/>
      <c r="Y996" s="204"/>
      <c r="Z996" s="204"/>
    </row>
    <row r="997" spans="21:26" ht="15.75" customHeight="1" x14ac:dyDescent="0.35">
      <c r="U997" s="204"/>
      <c r="V997" s="204"/>
      <c r="W997" s="204"/>
      <c r="X997" s="204"/>
      <c r="Y997" s="204"/>
      <c r="Z997" s="204"/>
    </row>
    <row r="998" spans="21:26" ht="15.75" customHeight="1" x14ac:dyDescent="0.35">
      <c r="U998" s="204"/>
      <c r="V998" s="204"/>
      <c r="W998" s="204"/>
      <c r="X998" s="204"/>
      <c r="Y998" s="204"/>
      <c r="Z998" s="204"/>
    </row>
    <row r="999" spans="21:26" ht="15.75" customHeight="1" x14ac:dyDescent="0.35">
      <c r="U999" s="204"/>
      <c r="V999" s="204"/>
      <c r="W999" s="204"/>
      <c r="X999" s="204"/>
      <c r="Y999" s="204"/>
      <c r="Z999" s="204"/>
    </row>
    <row r="1000" spans="21:26" ht="15.75" customHeight="1" x14ac:dyDescent="0.35">
      <c r="U1000" s="204"/>
      <c r="V1000" s="204"/>
      <c r="W1000" s="204"/>
      <c r="X1000" s="204"/>
      <c r="Y1000" s="204"/>
      <c r="Z1000" s="204"/>
    </row>
    <row r="1001" spans="21:26" ht="15.75" customHeight="1" x14ac:dyDescent="0.35">
      <c r="U1001" s="204"/>
      <c r="V1001" s="204"/>
      <c r="W1001" s="204"/>
      <c r="X1001" s="204"/>
      <c r="Y1001" s="204"/>
      <c r="Z1001" s="204"/>
    </row>
    <row r="1002" spans="21:26" ht="15.75" customHeight="1" x14ac:dyDescent="0.35">
      <c r="U1002" s="204"/>
      <c r="V1002" s="204"/>
      <c r="W1002" s="204"/>
      <c r="X1002" s="204"/>
      <c r="Y1002" s="204"/>
      <c r="Z1002" s="204"/>
    </row>
    <row r="1003" spans="21:26" ht="15.75" customHeight="1" x14ac:dyDescent="0.35">
      <c r="U1003" s="204"/>
      <c r="V1003" s="204"/>
      <c r="W1003" s="204"/>
      <c r="X1003" s="204"/>
      <c r="Y1003" s="204"/>
      <c r="Z1003" s="204"/>
    </row>
  </sheetData>
  <mergeCells count="7">
    <mergeCell ref="B35:C35"/>
    <mergeCell ref="B2:D2"/>
    <mergeCell ref="B5:F5"/>
    <mergeCell ref="B16:G16"/>
    <mergeCell ref="B33:F33"/>
    <mergeCell ref="B6:C6"/>
    <mergeCell ref="B17:C17"/>
  </mergeCells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3:X1003"/>
  <sheetViews>
    <sheetView topLeftCell="A16" zoomScale="70" zoomScaleNormal="70" workbookViewId="0">
      <selection activeCell="X19" sqref="X19"/>
    </sheetView>
  </sheetViews>
  <sheetFormatPr defaultColWidth="14.453125" defaultRowHeight="15" customHeight="1" x14ac:dyDescent="0.35"/>
  <cols>
    <col min="2" max="2" width="11.81640625" customWidth="1"/>
    <col min="3" max="3" width="15.453125" customWidth="1"/>
    <col min="4" max="4" width="10.26953125" customWidth="1"/>
    <col min="5" max="5" width="10.453125" customWidth="1"/>
    <col min="6" max="6" width="10" customWidth="1"/>
    <col min="7" max="11" width="9.1796875" customWidth="1"/>
    <col min="12" max="13" width="9.453125" customWidth="1"/>
    <col min="14" max="16" width="9.1796875" customWidth="1"/>
    <col min="17" max="18" width="8.81640625" customWidth="1"/>
    <col min="19" max="19" width="9.1796875" customWidth="1"/>
    <col min="20" max="20" width="9.81640625" customWidth="1"/>
    <col min="21" max="21" width="5.1796875" customWidth="1"/>
    <col min="22" max="22" width="7" customWidth="1"/>
  </cols>
  <sheetData>
    <row r="3" spans="1:24" ht="34" thickBot="1" x14ac:dyDescent="0.8">
      <c r="B3" s="1035" t="s">
        <v>214</v>
      </c>
      <c r="C3" s="1031"/>
      <c r="D3" s="1031"/>
      <c r="G3" s="77" t="s">
        <v>27</v>
      </c>
      <c r="H3" s="78" t="s">
        <v>2</v>
      </c>
      <c r="I3" s="79" t="s">
        <v>3</v>
      </c>
      <c r="J3" s="80" t="s">
        <v>4</v>
      </c>
      <c r="K3" s="81" t="s">
        <v>5</v>
      </c>
      <c r="L3" s="82" t="s">
        <v>6</v>
      </c>
      <c r="M3" s="83" t="s">
        <v>7</v>
      </c>
      <c r="N3" s="84" t="s">
        <v>8</v>
      </c>
      <c r="O3" s="85" t="s">
        <v>9</v>
      </c>
      <c r="P3" s="86" t="s">
        <v>10</v>
      </c>
      <c r="Q3" s="87" t="s">
        <v>11</v>
      </c>
      <c r="R3" s="88" t="s">
        <v>12</v>
      </c>
      <c r="S3" s="89" t="s">
        <v>13</v>
      </c>
      <c r="T3" s="90" t="s">
        <v>14</v>
      </c>
    </row>
    <row r="4" spans="1:24" thickBot="1" x14ac:dyDescent="0.4">
      <c r="A4" s="92" t="s">
        <v>215</v>
      </c>
      <c r="B4" s="92" t="s">
        <v>15</v>
      </c>
      <c r="C4" s="93"/>
      <c r="D4" s="94" t="s">
        <v>17</v>
      </c>
      <c r="E4" s="94" t="s">
        <v>18</v>
      </c>
      <c r="F4" s="95" t="s">
        <v>19</v>
      </c>
      <c r="G4" s="96">
        <v>2</v>
      </c>
      <c r="H4" s="97">
        <v>5</v>
      </c>
      <c r="I4" s="98">
        <v>7</v>
      </c>
      <c r="J4" s="99">
        <v>10</v>
      </c>
      <c r="K4" s="100">
        <v>11</v>
      </c>
      <c r="L4" s="101">
        <v>12</v>
      </c>
      <c r="M4" s="102">
        <v>13</v>
      </c>
      <c r="N4" s="103">
        <v>16</v>
      </c>
      <c r="O4" s="104">
        <v>27</v>
      </c>
      <c r="P4" s="105">
        <v>69</v>
      </c>
      <c r="Q4" s="106">
        <v>76</v>
      </c>
      <c r="R4" s="107">
        <v>77</v>
      </c>
      <c r="S4" s="108">
        <v>79</v>
      </c>
      <c r="T4" s="109">
        <v>81</v>
      </c>
      <c r="U4" s="108" t="s">
        <v>20</v>
      </c>
      <c r="V4" s="108" t="s">
        <v>21</v>
      </c>
      <c r="W4" s="108" t="s">
        <v>22</v>
      </c>
      <c r="X4" s="110" t="s">
        <v>28</v>
      </c>
    </row>
    <row r="5" spans="1:24" thickBot="1" x14ac:dyDescent="0.4">
      <c r="B5" s="76"/>
      <c r="C5" s="76"/>
      <c r="D5" s="76"/>
      <c r="E5" s="76"/>
      <c r="F5" s="4"/>
      <c r="G5" s="3"/>
      <c r="H5" s="3"/>
      <c r="I5" s="3"/>
      <c r="J5" s="111"/>
      <c r="K5" s="3"/>
      <c r="L5" s="3"/>
      <c r="M5" s="3"/>
      <c r="N5" s="3"/>
      <c r="O5" s="3"/>
      <c r="P5" s="3"/>
      <c r="Q5" s="3"/>
      <c r="R5" s="3"/>
      <c r="S5" s="3"/>
      <c r="T5" s="112"/>
      <c r="U5" s="3"/>
      <c r="V5" s="3"/>
      <c r="W5" s="3"/>
      <c r="X5" s="91"/>
    </row>
    <row r="6" spans="1:24" ht="39.75" customHeight="1" thickBot="1" x14ac:dyDescent="0.4">
      <c r="B6" s="1051" t="s">
        <v>995</v>
      </c>
      <c r="C6" s="1051"/>
      <c r="D6" s="890">
        <f>SUM(D7:D27)</f>
        <v>77</v>
      </c>
      <c r="E6" s="926" t="s">
        <v>988</v>
      </c>
      <c r="F6" s="930">
        <f>SUM(F7:F27)</f>
        <v>3192.01</v>
      </c>
      <c r="G6" s="918"/>
      <c r="H6" s="214"/>
      <c r="I6" s="215"/>
      <c r="J6" s="229"/>
      <c r="K6" s="217"/>
      <c r="L6" s="218"/>
      <c r="M6" s="219"/>
      <c r="N6" s="49"/>
      <c r="O6" s="221"/>
      <c r="P6" s="222"/>
      <c r="Q6" s="223"/>
      <c r="R6" s="224"/>
      <c r="S6" s="225"/>
      <c r="T6" s="226"/>
      <c r="U6" s="354">
        <f>SUM(G6:T6)</f>
        <v>0</v>
      </c>
      <c r="V6" s="354">
        <f t="shared" ref="V6:V27" si="0">U6*D6</f>
        <v>0</v>
      </c>
      <c r="W6" s="355">
        <f>1.07*0</f>
        <v>0</v>
      </c>
      <c r="X6" s="130">
        <f>U6*F6</f>
        <v>0</v>
      </c>
    </row>
    <row r="7" spans="1:24" ht="86.5" customHeight="1" thickBot="1" x14ac:dyDescent="0.4">
      <c r="A7" s="2" t="s">
        <v>216</v>
      </c>
      <c r="B7" s="928" t="s">
        <v>994</v>
      </c>
      <c r="C7" s="929"/>
      <c r="D7" s="557">
        <v>10</v>
      </c>
      <c r="E7" s="557" t="s">
        <v>217</v>
      </c>
      <c r="F7" s="863">
        <v>103</v>
      </c>
      <c r="G7" s="213"/>
      <c r="H7" s="214"/>
      <c r="I7" s="215"/>
      <c r="J7" s="229"/>
      <c r="K7" s="217"/>
      <c r="L7" s="218"/>
      <c r="M7" s="219"/>
      <c r="N7" s="49"/>
      <c r="O7" s="221"/>
      <c r="P7" s="222"/>
      <c r="Q7" s="223"/>
      <c r="R7" s="224"/>
      <c r="S7" s="225"/>
      <c r="T7" s="226"/>
      <c r="U7" s="354">
        <f t="shared" ref="U7:U27" si="1">SUM(G7:T7)</f>
        <v>0</v>
      </c>
      <c r="V7" s="354">
        <f t="shared" si="0"/>
        <v>0</v>
      </c>
      <c r="W7" s="355">
        <f>1.07*U7</f>
        <v>0</v>
      </c>
      <c r="X7" s="130">
        <f t="shared" ref="X7:X27" si="2">U7*F7</f>
        <v>0</v>
      </c>
    </row>
    <row r="8" spans="1:24" ht="86.5" customHeight="1" thickBot="1" x14ac:dyDescent="0.4">
      <c r="A8" s="2"/>
      <c r="B8" s="928" t="s">
        <v>1005</v>
      </c>
      <c r="C8" s="929"/>
      <c r="D8" s="557">
        <v>10</v>
      </c>
      <c r="E8" s="557" t="s">
        <v>1003</v>
      </c>
      <c r="F8" s="863">
        <v>62</v>
      </c>
      <c r="G8" s="213"/>
      <c r="H8" s="214"/>
      <c r="I8" s="215"/>
      <c r="J8" s="229"/>
      <c r="K8" s="217"/>
      <c r="L8" s="218"/>
      <c r="M8" s="219"/>
      <c r="N8" s="49"/>
      <c r="O8" s="221"/>
      <c r="P8" s="222"/>
      <c r="Q8" s="223"/>
      <c r="R8" s="224"/>
      <c r="S8" s="225"/>
      <c r="T8" s="226"/>
      <c r="U8" s="354">
        <f t="shared" si="1"/>
        <v>0</v>
      </c>
      <c r="V8" s="354">
        <f t="shared" ref="V8:V9" si="3">U8*D8</f>
        <v>0</v>
      </c>
      <c r="W8" s="355">
        <f t="shared" ref="W8:W9" si="4">1.07*U8</f>
        <v>0</v>
      </c>
      <c r="X8" s="130">
        <f t="shared" ref="X8:X9" si="5">U8*F8</f>
        <v>0</v>
      </c>
    </row>
    <row r="9" spans="1:24" ht="86.5" customHeight="1" x14ac:dyDescent="0.35">
      <c r="A9" s="2"/>
      <c r="B9" s="928" t="s">
        <v>1006</v>
      </c>
      <c r="C9" s="929"/>
      <c r="D9" s="557">
        <v>10</v>
      </c>
      <c r="E9" s="557" t="s">
        <v>1004</v>
      </c>
      <c r="F9" s="863">
        <v>74</v>
      </c>
      <c r="G9" s="213"/>
      <c r="H9" s="214"/>
      <c r="I9" s="215"/>
      <c r="J9" s="229"/>
      <c r="K9" s="217"/>
      <c r="L9" s="218"/>
      <c r="M9" s="219"/>
      <c r="N9" s="49"/>
      <c r="O9" s="221"/>
      <c r="P9" s="222"/>
      <c r="Q9" s="223"/>
      <c r="R9" s="224"/>
      <c r="S9" s="225"/>
      <c r="T9" s="226"/>
      <c r="U9" s="354">
        <f t="shared" si="1"/>
        <v>0</v>
      </c>
      <c r="V9" s="354">
        <f t="shared" si="3"/>
        <v>0</v>
      </c>
      <c r="W9" s="355">
        <f t="shared" si="4"/>
        <v>0</v>
      </c>
      <c r="X9" s="130">
        <f t="shared" si="5"/>
        <v>0</v>
      </c>
    </row>
    <row r="10" spans="1:24" ht="75" customHeight="1" x14ac:dyDescent="0.35">
      <c r="A10" s="2" t="s">
        <v>218</v>
      </c>
      <c r="B10" s="230" t="s">
        <v>219</v>
      </c>
      <c r="C10" s="356"/>
      <c r="D10" s="40">
        <v>10</v>
      </c>
      <c r="E10" s="40" t="s">
        <v>220</v>
      </c>
      <c r="F10" s="927">
        <v>233.81</v>
      </c>
      <c r="G10" s="213"/>
      <c r="H10" s="214"/>
      <c r="I10" s="215"/>
      <c r="J10" s="216"/>
      <c r="K10" s="217"/>
      <c r="L10" s="218"/>
      <c r="M10" s="219"/>
      <c r="N10" s="49"/>
      <c r="O10" s="221"/>
      <c r="P10" s="222"/>
      <c r="Q10" s="223"/>
      <c r="R10" s="224"/>
      <c r="S10" s="225"/>
      <c r="T10" s="226"/>
      <c r="U10" s="354">
        <f t="shared" si="1"/>
        <v>0</v>
      </c>
      <c r="V10" s="354">
        <f t="shared" si="0"/>
        <v>0</v>
      </c>
      <c r="W10" s="357">
        <f>3.3*U10</f>
        <v>0</v>
      </c>
      <c r="X10" s="130">
        <f t="shared" si="2"/>
        <v>0</v>
      </c>
    </row>
    <row r="11" spans="1:24" ht="81.75" customHeight="1" x14ac:dyDescent="0.35">
      <c r="A11" s="2" t="s">
        <v>218</v>
      </c>
      <c r="B11" s="230" t="s">
        <v>221</v>
      </c>
      <c r="C11" s="358"/>
      <c r="D11" s="40">
        <v>5</v>
      </c>
      <c r="E11" s="40" t="s">
        <v>222</v>
      </c>
      <c r="F11" s="927">
        <v>173.04</v>
      </c>
      <c r="G11" s="213"/>
      <c r="H11" s="214"/>
      <c r="I11" s="215"/>
      <c r="J11" s="216"/>
      <c r="K11" s="217"/>
      <c r="L11" s="218"/>
      <c r="M11" s="219"/>
      <c r="N11" s="49"/>
      <c r="O11" s="221"/>
      <c r="P11" s="222"/>
      <c r="Q11" s="223"/>
      <c r="R11" s="224"/>
      <c r="S11" s="225"/>
      <c r="T11" s="226"/>
      <c r="U11" s="354">
        <f t="shared" si="1"/>
        <v>0</v>
      </c>
      <c r="V11" s="354">
        <f t="shared" si="0"/>
        <v>0</v>
      </c>
      <c r="W11" s="357">
        <f>U11* 2.56</f>
        <v>0</v>
      </c>
      <c r="X11" s="130">
        <f t="shared" si="2"/>
        <v>0</v>
      </c>
    </row>
    <row r="12" spans="1:24" ht="78.75" customHeight="1" x14ac:dyDescent="0.35">
      <c r="A12" s="2" t="s">
        <v>223</v>
      </c>
      <c r="B12" s="131" t="s">
        <v>224</v>
      </c>
      <c r="C12" s="358"/>
      <c r="D12" s="40">
        <v>2</v>
      </c>
      <c r="E12" s="40" t="s">
        <v>225</v>
      </c>
      <c r="F12" s="927">
        <v>114.33</v>
      </c>
      <c r="G12" s="213"/>
      <c r="H12" s="214"/>
      <c r="I12" s="215"/>
      <c r="J12" s="216"/>
      <c r="K12" s="217"/>
      <c r="L12" s="218"/>
      <c r="M12" s="219"/>
      <c r="N12" s="49"/>
      <c r="O12" s="221"/>
      <c r="P12" s="222"/>
      <c r="Q12" s="223"/>
      <c r="R12" s="224"/>
      <c r="S12" s="225"/>
      <c r="T12" s="226"/>
      <c r="U12" s="354">
        <f t="shared" si="1"/>
        <v>0</v>
      </c>
      <c r="V12" s="354">
        <f t="shared" si="0"/>
        <v>0</v>
      </c>
      <c r="W12" s="357">
        <f>U12* 1.11</f>
        <v>0</v>
      </c>
      <c r="X12" s="130">
        <f t="shared" si="2"/>
        <v>0</v>
      </c>
    </row>
    <row r="13" spans="1:24" ht="86.25" customHeight="1" x14ac:dyDescent="0.35">
      <c r="A13" s="2" t="s">
        <v>223</v>
      </c>
      <c r="B13" s="131" t="s">
        <v>226</v>
      </c>
      <c r="C13" s="358"/>
      <c r="D13" s="40">
        <v>2</v>
      </c>
      <c r="E13" s="40" t="s">
        <v>227</v>
      </c>
      <c r="F13" s="927">
        <v>101.97</v>
      </c>
      <c r="G13" s="213"/>
      <c r="H13" s="214"/>
      <c r="I13" s="215"/>
      <c r="J13" s="216"/>
      <c r="K13" s="217"/>
      <c r="L13" s="218"/>
      <c r="M13" s="219"/>
      <c r="N13" s="49"/>
      <c r="O13" s="221"/>
      <c r="P13" s="222"/>
      <c r="Q13" s="223"/>
      <c r="R13" s="224"/>
      <c r="S13" s="225"/>
      <c r="T13" s="226"/>
      <c r="U13" s="354">
        <f t="shared" si="1"/>
        <v>0</v>
      </c>
      <c r="V13" s="354">
        <f t="shared" si="0"/>
        <v>0</v>
      </c>
      <c r="W13" s="357">
        <f>U13* 0.97</f>
        <v>0</v>
      </c>
      <c r="X13" s="130">
        <f t="shared" si="2"/>
        <v>0</v>
      </c>
    </row>
    <row r="14" spans="1:24" ht="86.25" customHeight="1" x14ac:dyDescent="0.35">
      <c r="A14" s="2" t="s">
        <v>223</v>
      </c>
      <c r="B14" s="131" t="s">
        <v>228</v>
      </c>
      <c r="C14" s="358"/>
      <c r="D14" s="40">
        <v>2</v>
      </c>
      <c r="E14" s="40" t="s">
        <v>229</v>
      </c>
      <c r="F14" s="927">
        <v>107.12</v>
      </c>
      <c r="G14" s="213"/>
      <c r="H14" s="214"/>
      <c r="I14" s="215"/>
      <c r="J14" s="216"/>
      <c r="K14" s="217"/>
      <c r="L14" s="218"/>
      <c r="M14" s="219"/>
      <c r="N14" s="49"/>
      <c r="O14" s="221"/>
      <c r="P14" s="222"/>
      <c r="Q14" s="223"/>
      <c r="R14" s="224"/>
      <c r="S14" s="225"/>
      <c r="T14" s="226"/>
      <c r="U14" s="354">
        <f t="shared" si="1"/>
        <v>0</v>
      </c>
      <c r="V14" s="354">
        <f t="shared" si="0"/>
        <v>0</v>
      </c>
      <c r="W14" s="357">
        <f t="shared" ref="W14:W15" si="6">U14* 1.04</f>
        <v>0</v>
      </c>
      <c r="X14" s="130">
        <f t="shared" si="2"/>
        <v>0</v>
      </c>
    </row>
    <row r="15" spans="1:24" ht="86.25" customHeight="1" x14ac:dyDescent="0.35">
      <c r="A15" s="2" t="s">
        <v>223</v>
      </c>
      <c r="B15" s="131" t="s">
        <v>230</v>
      </c>
      <c r="C15" s="358"/>
      <c r="D15" s="40">
        <v>2</v>
      </c>
      <c r="E15" s="40" t="s">
        <v>231</v>
      </c>
      <c r="F15" s="927">
        <v>107.12</v>
      </c>
      <c r="G15" s="213"/>
      <c r="H15" s="214"/>
      <c r="I15" s="215"/>
      <c r="J15" s="216"/>
      <c r="K15" s="217"/>
      <c r="L15" s="218"/>
      <c r="M15" s="219"/>
      <c r="N15" s="49"/>
      <c r="O15" s="221"/>
      <c r="P15" s="222"/>
      <c r="Q15" s="223"/>
      <c r="R15" s="224"/>
      <c r="S15" s="225"/>
      <c r="T15" s="226"/>
      <c r="U15" s="354">
        <f t="shared" si="1"/>
        <v>0</v>
      </c>
      <c r="V15" s="354">
        <f t="shared" si="0"/>
        <v>0</v>
      </c>
      <c r="W15" s="357">
        <f t="shared" si="6"/>
        <v>0</v>
      </c>
      <c r="X15" s="130">
        <f t="shared" si="2"/>
        <v>0</v>
      </c>
    </row>
    <row r="16" spans="1:24" ht="86.25" customHeight="1" x14ac:dyDescent="0.35">
      <c r="A16" s="2" t="s">
        <v>223</v>
      </c>
      <c r="B16" s="131" t="s">
        <v>232</v>
      </c>
      <c r="C16" s="358"/>
      <c r="D16" s="40">
        <v>2</v>
      </c>
      <c r="E16" s="40" t="s">
        <v>233</v>
      </c>
      <c r="F16" s="927">
        <v>108.15</v>
      </c>
      <c r="G16" s="213"/>
      <c r="H16" s="214"/>
      <c r="I16" s="215"/>
      <c r="J16" s="216"/>
      <c r="K16" s="217"/>
      <c r="L16" s="218"/>
      <c r="M16" s="219"/>
      <c r="N16" s="49"/>
      <c r="O16" s="221"/>
      <c r="P16" s="222"/>
      <c r="Q16" s="223"/>
      <c r="R16" s="224"/>
      <c r="S16" s="225"/>
      <c r="T16" s="226"/>
      <c r="U16" s="354">
        <f t="shared" si="1"/>
        <v>0</v>
      </c>
      <c r="V16" s="354">
        <f t="shared" si="0"/>
        <v>0</v>
      </c>
      <c r="W16" s="357">
        <f>U16* 1.06</f>
        <v>0</v>
      </c>
      <c r="X16" s="130">
        <f t="shared" si="2"/>
        <v>0</v>
      </c>
    </row>
    <row r="17" spans="1:24" ht="86.25" customHeight="1" x14ac:dyDescent="0.35">
      <c r="A17" s="2" t="s">
        <v>223</v>
      </c>
      <c r="B17" s="131" t="s">
        <v>234</v>
      </c>
      <c r="C17" s="358"/>
      <c r="D17" s="40">
        <v>2</v>
      </c>
      <c r="E17" s="40" t="s">
        <v>235</v>
      </c>
      <c r="F17" s="927">
        <v>127.72</v>
      </c>
      <c r="G17" s="213"/>
      <c r="H17" s="214"/>
      <c r="I17" s="215"/>
      <c r="J17" s="216"/>
      <c r="K17" s="217"/>
      <c r="L17" s="218"/>
      <c r="M17" s="219"/>
      <c r="N17" s="49"/>
      <c r="O17" s="221"/>
      <c r="P17" s="222"/>
      <c r="Q17" s="223"/>
      <c r="R17" s="224"/>
      <c r="S17" s="359"/>
      <c r="T17" s="226"/>
      <c r="U17" s="354">
        <f t="shared" si="1"/>
        <v>0</v>
      </c>
      <c r="V17" s="354">
        <f t="shared" si="0"/>
        <v>0</v>
      </c>
      <c r="W17" s="357">
        <f>U17* 1.34</f>
        <v>0</v>
      </c>
      <c r="X17" s="130">
        <f t="shared" si="2"/>
        <v>0</v>
      </c>
    </row>
    <row r="18" spans="1:24" ht="86.25" customHeight="1" x14ac:dyDescent="0.35">
      <c r="A18" s="2" t="s">
        <v>223</v>
      </c>
      <c r="B18" s="131" t="s">
        <v>236</v>
      </c>
      <c r="C18" s="356"/>
      <c r="D18" s="40">
        <v>2</v>
      </c>
      <c r="E18" s="40" t="s">
        <v>237</v>
      </c>
      <c r="F18" s="927">
        <v>129.78</v>
      </c>
      <c r="G18" s="213"/>
      <c r="H18" s="214"/>
      <c r="I18" s="215"/>
      <c r="J18" s="216"/>
      <c r="K18" s="217"/>
      <c r="L18" s="218"/>
      <c r="M18" s="219"/>
      <c r="N18" s="49"/>
      <c r="O18" s="221"/>
      <c r="P18" s="222"/>
      <c r="Q18" s="223"/>
      <c r="R18" s="224"/>
      <c r="S18" s="359"/>
      <c r="T18" s="226"/>
      <c r="U18" s="354">
        <f t="shared" si="1"/>
        <v>0</v>
      </c>
      <c r="V18" s="354">
        <f t="shared" si="0"/>
        <v>0</v>
      </c>
      <c r="W18" s="357">
        <f>U18* 1.37</f>
        <v>0</v>
      </c>
      <c r="X18" s="130">
        <f t="shared" si="2"/>
        <v>0</v>
      </c>
    </row>
    <row r="19" spans="1:24" ht="86.25" customHeight="1" x14ac:dyDescent="0.35">
      <c r="A19" s="2" t="s">
        <v>223</v>
      </c>
      <c r="B19" s="131" t="s">
        <v>238</v>
      </c>
      <c r="C19" s="356"/>
      <c r="D19" s="40">
        <v>2</v>
      </c>
      <c r="E19" s="40" t="s">
        <v>239</v>
      </c>
      <c r="F19" s="927">
        <v>126.69</v>
      </c>
      <c r="G19" s="213"/>
      <c r="H19" s="214"/>
      <c r="I19" s="215"/>
      <c r="J19" s="216"/>
      <c r="K19" s="217"/>
      <c r="L19" s="218"/>
      <c r="M19" s="219"/>
      <c r="N19" s="49"/>
      <c r="O19" s="221"/>
      <c r="P19" s="222"/>
      <c r="Q19" s="223"/>
      <c r="R19" s="224"/>
      <c r="S19" s="359"/>
      <c r="T19" s="226"/>
      <c r="U19" s="354">
        <f t="shared" si="1"/>
        <v>0</v>
      </c>
      <c r="V19" s="354">
        <f t="shared" si="0"/>
        <v>0</v>
      </c>
      <c r="W19" s="357">
        <f>U19* 1.32</f>
        <v>0</v>
      </c>
      <c r="X19" s="130">
        <f t="shared" si="2"/>
        <v>0</v>
      </c>
    </row>
    <row r="20" spans="1:24" ht="86.25" customHeight="1" x14ac:dyDescent="0.35">
      <c r="A20" s="2" t="s">
        <v>240</v>
      </c>
      <c r="B20" s="131" t="s">
        <v>241</v>
      </c>
      <c r="C20" s="358"/>
      <c r="D20" s="40">
        <v>2</v>
      </c>
      <c r="E20" s="40" t="s">
        <v>242</v>
      </c>
      <c r="F20" s="927">
        <v>151.41</v>
      </c>
      <c r="G20" s="213"/>
      <c r="H20" s="214"/>
      <c r="I20" s="215"/>
      <c r="J20" s="216"/>
      <c r="K20" s="217"/>
      <c r="L20" s="218"/>
      <c r="M20" s="219"/>
      <c r="N20" s="49"/>
      <c r="O20" s="221"/>
      <c r="P20" s="222"/>
      <c r="Q20" s="223"/>
      <c r="R20" s="224"/>
      <c r="S20" s="359"/>
      <c r="T20" s="226"/>
      <c r="U20" s="354">
        <f t="shared" si="1"/>
        <v>0</v>
      </c>
      <c r="V20" s="354">
        <f t="shared" si="0"/>
        <v>0</v>
      </c>
      <c r="W20" s="357">
        <f>U20* 1.7</f>
        <v>0</v>
      </c>
      <c r="X20" s="130">
        <f t="shared" si="2"/>
        <v>0</v>
      </c>
    </row>
    <row r="21" spans="1:24" ht="86.25" customHeight="1" x14ac:dyDescent="0.35">
      <c r="A21" s="2" t="s">
        <v>240</v>
      </c>
      <c r="B21" s="131" t="s">
        <v>243</v>
      </c>
      <c r="C21" s="358"/>
      <c r="D21" s="40">
        <v>2</v>
      </c>
      <c r="E21" s="40" t="s">
        <v>244</v>
      </c>
      <c r="F21" s="927">
        <v>163.77000000000001</v>
      </c>
      <c r="G21" s="213"/>
      <c r="H21" s="214"/>
      <c r="I21" s="215"/>
      <c r="J21" s="216"/>
      <c r="K21" s="217"/>
      <c r="L21" s="218"/>
      <c r="M21" s="219"/>
      <c r="N21" s="49"/>
      <c r="O21" s="221"/>
      <c r="P21" s="222"/>
      <c r="Q21" s="223"/>
      <c r="R21" s="224"/>
      <c r="S21" s="359"/>
      <c r="T21" s="226"/>
      <c r="U21" s="354">
        <f t="shared" si="1"/>
        <v>0</v>
      </c>
      <c r="V21" s="354">
        <f t="shared" si="0"/>
        <v>0</v>
      </c>
      <c r="W21" s="357">
        <f t="shared" ref="W21:W22" si="7">U21* 1.88</f>
        <v>0</v>
      </c>
      <c r="X21" s="130">
        <f t="shared" si="2"/>
        <v>0</v>
      </c>
    </row>
    <row r="22" spans="1:24" ht="86.25" customHeight="1" x14ac:dyDescent="0.35">
      <c r="A22" s="2" t="s">
        <v>240</v>
      </c>
      <c r="B22" s="131" t="s">
        <v>245</v>
      </c>
      <c r="C22" s="358"/>
      <c r="D22" s="40">
        <v>2</v>
      </c>
      <c r="E22" s="40" t="s">
        <v>246</v>
      </c>
      <c r="F22" s="927">
        <v>163.77000000000001</v>
      </c>
      <c r="G22" s="213"/>
      <c r="H22" s="214"/>
      <c r="I22" s="215"/>
      <c r="J22" s="216"/>
      <c r="K22" s="217"/>
      <c r="L22" s="218"/>
      <c r="M22" s="219"/>
      <c r="N22" s="220"/>
      <c r="O22" s="221"/>
      <c r="P22" s="222"/>
      <c r="Q22" s="223"/>
      <c r="R22" s="224"/>
      <c r="S22" s="359"/>
      <c r="T22" s="226"/>
      <c r="U22" s="354">
        <f t="shared" si="1"/>
        <v>0</v>
      </c>
      <c r="V22" s="354">
        <f t="shared" si="0"/>
        <v>0</v>
      </c>
      <c r="W22" s="357">
        <f t="shared" si="7"/>
        <v>0</v>
      </c>
      <c r="X22" s="130">
        <f t="shared" si="2"/>
        <v>0</v>
      </c>
    </row>
    <row r="23" spans="1:24" ht="86.25" customHeight="1" x14ac:dyDescent="0.35">
      <c r="A23" s="2" t="s">
        <v>240</v>
      </c>
      <c r="B23" s="131" t="s">
        <v>247</v>
      </c>
      <c r="C23" s="358"/>
      <c r="D23" s="40">
        <v>2</v>
      </c>
      <c r="E23" s="40" t="s">
        <v>248</v>
      </c>
      <c r="F23" s="927">
        <v>158.62</v>
      </c>
      <c r="G23" s="213"/>
      <c r="H23" s="214"/>
      <c r="I23" s="215"/>
      <c r="J23" s="216"/>
      <c r="K23" s="217"/>
      <c r="L23" s="218"/>
      <c r="M23" s="219"/>
      <c r="N23" s="220"/>
      <c r="O23" s="221"/>
      <c r="P23" s="222"/>
      <c r="Q23" s="223"/>
      <c r="R23" s="224"/>
      <c r="S23" s="359"/>
      <c r="T23" s="226"/>
      <c r="U23" s="354">
        <f t="shared" si="1"/>
        <v>0</v>
      </c>
      <c r="V23" s="354">
        <f t="shared" si="0"/>
        <v>0</v>
      </c>
      <c r="W23" s="357">
        <f>U23* 1.8</f>
        <v>0</v>
      </c>
      <c r="X23" s="130">
        <f t="shared" si="2"/>
        <v>0</v>
      </c>
    </row>
    <row r="24" spans="1:24" ht="86.25" customHeight="1" x14ac:dyDescent="0.35">
      <c r="A24" s="2" t="s">
        <v>240</v>
      </c>
      <c r="B24" s="131" t="s">
        <v>249</v>
      </c>
      <c r="C24" s="358"/>
      <c r="D24" s="40">
        <v>2</v>
      </c>
      <c r="E24" s="40" t="s">
        <v>250</v>
      </c>
      <c r="F24" s="927">
        <v>134.93</v>
      </c>
      <c r="G24" s="213"/>
      <c r="H24" s="214"/>
      <c r="I24" s="215"/>
      <c r="J24" s="216"/>
      <c r="K24" s="217"/>
      <c r="L24" s="218"/>
      <c r="M24" s="219"/>
      <c r="N24" s="220"/>
      <c r="O24" s="221"/>
      <c r="P24" s="222"/>
      <c r="Q24" s="223"/>
      <c r="R24" s="224"/>
      <c r="S24" s="359"/>
      <c r="T24" s="226"/>
      <c r="U24" s="354">
        <f t="shared" si="1"/>
        <v>0</v>
      </c>
      <c r="V24" s="354">
        <f t="shared" si="0"/>
        <v>0</v>
      </c>
      <c r="W24" s="357">
        <f>U24* 1.47</f>
        <v>0</v>
      </c>
      <c r="X24" s="130">
        <f t="shared" si="2"/>
        <v>0</v>
      </c>
    </row>
    <row r="25" spans="1:24" ht="86.25" customHeight="1" x14ac:dyDescent="0.35">
      <c r="A25" s="2"/>
      <c r="B25" s="212" t="s">
        <v>251</v>
      </c>
      <c r="C25" s="19"/>
      <c r="D25" s="40">
        <v>2</v>
      </c>
      <c r="E25" s="40" t="s">
        <v>252</v>
      </c>
      <c r="F25" s="927">
        <v>319.3</v>
      </c>
      <c r="G25" s="213"/>
      <c r="H25" s="214"/>
      <c r="I25" s="215"/>
      <c r="J25" s="216"/>
      <c r="K25" s="217"/>
      <c r="L25" s="218"/>
      <c r="M25" s="219"/>
      <c r="N25" s="220"/>
      <c r="O25" s="221"/>
      <c r="P25" s="222"/>
      <c r="Q25" s="223"/>
      <c r="R25" s="224"/>
      <c r="S25" s="359"/>
      <c r="T25" s="226"/>
      <c r="U25" s="354">
        <f t="shared" si="1"/>
        <v>0</v>
      </c>
      <c r="V25" s="354">
        <f t="shared" si="0"/>
        <v>0</v>
      </c>
      <c r="W25" s="357">
        <f>U25* 4.2</f>
        <v>0</v>
      </c>
      <c r="X25" s="130">
        <f t="shared" si="2"/>
        <v>0</v>
      </c>
    </row>
    <row r="26" spans="1:24" ht="86.25" customHeight="1" x14ac:dyDescent="0.35">
      <c r="A26" s="2"/>
      <c r="B26" s="40" t="s">
        <v>253</v>
      </c>
      <c r="C26" s="19"/>
      <c r="D26" s="40">
        <v>2</v>
      </c>
      <c r="E26" s="40" t="s">
        <v>254</v>
      </c>
      <c r="F26" s="927">
        <v>319.3</v>
      </c>
      <c r="G26" s="213"/>
      <c r="H26" s="214"/>
      <c r="I26" s="215"/>
      <c r="J26" s="216"/>
      <c r="K26" s="217"/>
      <c r="L26" s="218"/>
      <c r="M26" s="219"/>
      <c r="N26" s="220"/>
      <c r="O26" s="221"/>
      <c r="P26" s="222"/>
      <c r="Q26" s="223"/>
      <c r="R26" s="224"/>
      <c r="S26" s="359"/>
      <c r="T26" s="226"/>
      <c r="U26" s="354">
        <f t="shared" si="1"/>
        <v>0</v>
      </c>
      <c r="V26" s="354">
        <f t="shared" si="0"/>
        <v>0</v>
      </c>
      <c r="W26" s="354"/>
      <c r="X26" s="130">
        <f t="shared" si="2"/>
        <v>0</v>
      </c>
    </row>
    <row r="27" spans="1:24" ht="86.25" customHeight="1" x14ac:dyDescent="0.35">
      <c r="A27" s="2"/>
      <c r="B27" s="212" t="s">
        <v>255</v>
      </c>
      <c r="C27" s="19"/>
      <c r="D27" s="40">
        <v>2</v>
      </c>
      <c r="E27" s="40" t="s">
        <v>256</v>
      </c>
      <c r="F27" s="927">
        <v>212.18</v>
      </c>
      <c r="G27" s="213"/>
      <c r="H27" s="214"/>
      <c r="I27" s="215"/>
      <c r="J27" s="216"/>
      <c r="K27" s="217"/>
      <c r="L27" s="218"/>
      <c r="M27" s="219"/>
      <c r="N27" s="220"/>
      <c r="O27" s="221"/>
      <c r="P27" s="222"/>
      <c r="Q27" s="223"/>
      <c r="R27" s="224"/>
      <c r="S27" s="359"/>
      <c r="T27" s="226"/>
      <c r="U27" s="354">
        <f t="shared" si="1"/>
        <v>0</v>
      </c>
      <c r="V27" s="354">
        <f t="shared" si="0"/>
        <v>0</v>
      </c>
      <c r="W27" s="354"/>
      <c r="X27" s="130">
        <f t="shared" si="2"/>
        <v>0</v>
      </c>
    </row>
    <row r="28" spans="1:24" ht="86.25" customHeight="1" x14ac:dyDescent="0.35">
      <c r="A28" s="2"/>
      <c r="B28" s="361"/>
      <c r="C28" s="19"/>
      <c r="D28" s="40"/>
      <c r="E28" s="40"/>
      <c r="F28" s="360"/>
      <c r="G28" s="213"/>
      <c r="H28" s="214"/>
      <c r="I28" s="215"/>
      <c r="J28" s="216"/>
      <c r="K28" s="217"/>
      <c r="L28" s="218"/>
      <c r="M28" s="219"/>
      <c r="N28" s="220"/>
      <c r="O28" s="221"/>
      <c r="P28" s="222"/>
      <c r="Q28" s="223"/>
      <c r="R28" s="224"/>
      <c r="S28" s="359"/>
      <c r="T28" s="226"/>
      <c r="U28" s="354"/>
      <c r="V28" s="354"/>
      <c r="W28" s="354"/>
      <c r="X28" s="130"/>
    </row>
    <row r="29" spans="1:24" ht="86.25" customHeight="1" x14ac:dyDescent="0.35">
      <c r="A29" s="2"/>
      <c r="B29" s="361"/>
      <c r="C29" s="19"/>
      <c r="D29" s="362"/>
      <c r="E29" s="362"/>
      <c r="F29" s="360"/>
      <c r="G29" s="213"/>
      <c r="H29" s="214"/>
      <c r="I29" s="215"/>
      <c r="J29" s="216"/>
      <c r="K29" s="217"/>
      <c r="L29" s="218"/>
      <c r="M29" s="219"/>
      <c r="N29" s="220"/>
      <c r="O29" s="221"/>
      <c r="P29" s="222"/>
      <c r="Q29" s="223"/>
      <c r="R29" s="224"/>
      <c r="S29" s="359"/>
      <c r="T29" s="226"/>
      <c r="U29" s="354"/>
      <c r="V29" s="354"/>
      <c r="W29" s="354"/>
      <c r="X29" s="130"/>
    </row>
    <row r="30" spans="1:24" ht="86.25" customHeight="1" thickBot="1" x14ac:dyDescent="0.4">
      <c r="A30" s="2"/>
      <c r="B30" s="361"/>
      <c r="C30" s="19"/>
      <c r="D30" s="363"/>
      <c r="E30" s="363"/>
      <c r="F30" s="360"/>
      <c r="G30" s="213"/>
      <c r="H30" s="214"/>
      <c r="I30" s="215"/>
      <c r="J30" s="216"/>
      <c r="K30" s="217"/>
      <c r="L30" s="218"/>
      <c r="M30" s="219"/>
      <c r="N30" s="220"/>
      <c r="O30" s="221"/>
      <c r="P30" s="222"/>
      <c r="Q30" s="223"/>
      <c r="R30" s="224"/>
      <c r="S30" s="359"/>
      <c r="T30" s="226"/>
      <c r="U30" s="354"/>
      <c r="V30" s="354"/>
      <c r="W30" s="354"/>
      <c r="X30" s="130"/>
    </row>
    <row r="31" spans="1:24" ht="15.75" customHeight="1" x14ac:dyDescent="0.35">
      <c r="G31" s="74">
        <f>SUM(G6:G27)</f>
        <v>0</v>
      </c>
      <c r="H31" s="74">
        <f t="shared" ref="H31:W31" si="8">SUM(H6:H27)</f>
        <v>0</v>
      </c>
      <c r="I31" s="74">
        <f t="shared" si="8"/>
        <v>0</v>
      </c>
      <c r="J31" s="74">
        <f t="shared" si="8"/>
        <v>0</v>
      </c>
      <c r="K31" s="74">
        <f t="shared" si="8"/>
        <v>0</v>
      </c>
      <c r="L31" s="74">
        <f t="shared" si="8"/>
        <v>0</v>
      </c>
      <c r="M31" s="74">
        <f t="shared" si="8"/>
        <v>0</v>
      </c>
      <c r="N31" s="74">
        <f t="shared" si="8"/>
        <v>0</v>
      </c>
      <c r="O31" s="74">
        <f t="shared" si="8"/>
        <v>0</v>
      </c>
      <c r="P31" s="74">
        <f t="shared" si="8"/>
        <v>0</v>
      </c>
      <c r="Q31" s="74">
        <f t="shared" si="8"/>
        <v>0</v>
      </c>
      <c r="R31" s="74">
        <f t="shared" si="8"/>
        <v>0</v>
      </c>
      <c r="S31" s="74">
        <f t="shared" si="8"/>
        <v>0</v>
      </c>
      <c r="T31" s="74">
        <f t="shared" si="8"/>
        <v>0</v>
      </c>
      <c r="U31" s="74">
        <f>SUM(U6:U27)</f>
        <v>0</v>
      </c>
      <c r="V31" s="74">
        <f t="shared" si="8"/>
        <v>0</v>
      </c>
      <c r="W31" s="74">
        <f t="shared" si="8"/>
        <v>0</v>
      </c>
      <c r="X31" s="75">
        <f>SUM(X6:X27)</f>
        <v>0</v>
      </c>
    </row>
    <row r="32" spans="1:24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</sheetData>
  <mergeCells count="2">
    <mergeCell ref="B3:D3"/>
    <mergeCell ref="B6:C6"/>
  </mergeCells>
  <phoneticPr fontId="58" type="noConversion"/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1001"/>
  <sheetViews>
    <sheetView topLeftCell="A10" workbookViewId="0">
      <selection activeCell="B5" sqref="B5:F5"/>
    </sheetView>
  </sheetViews>
  <sheetFormatPr defaultColWidth="14.453125" defaultRowHeight="15" customHeight="1" x14ac:dyDescent="0.35"/>
  <cols>
    <col min="1" max="1" width="2.81640625" customWidth="1"/>
    <col min="2" max="2" width="14.26953125" customWidth="1"/>
    <col min="3" max="3" width="16.7265625" customWidth="1"/>
    <col min="4" max="4" width="8.26953125" customWidth="1"/>
    <col min="5" max="5" width="10.54296875" customWidth="1"/>
    <col min="6" max="6" width="9.54296875" customWidth="1"/>
    <col min="7" max="20" width="9.1796875" customWidth="1"/>
    <col min="21" max="21" width="5.1796875" customWidth="1"/>
    <col min="22" max="22" width="7" customWidth="1"/>
    <col min="23" max="23" width="8.1796875" customWidth="1"/>
    <col min="24" max="24" width="11.7265625" customWidth="1"/>
  </cols>
  <sheetData>
    <row r="1" spans="1:24" ht="14.5" x14ac:dyDescent="0.35">
      <c r="A1" s="1"/>
    </row>
    <row r="2" spans="1:24" ht="36.5" thickBot="1" x14ac:dyDescent="0.85">
      <c r="B2" s="1030" t="s">
        <v>257</v>
      </c>
      <c r="C2" s="1031"/>
      <c r="D2" s="1031"/>
      <c r="E2" s="3"/>
      <c r="F2" s="3"/>
      <c r="G2" s="364" t="s">
        <v>27</v>
      </c>
      <c r="H2" s="365" t="s">
        <v>2</v>
      </c>
      <c r="I2" s="366" t="s">
        <v>3</v>
      </c>
      <c r="J2" s="367" t="s">
        <v>4</v>
      </c>
      <c r="K2" s="368" t="s">
        <v>5</v>
      </c>
      <c r="L2" s="369" t="s">
        <v>6</v>
      </c>
      <c r="M2" s="370" t="s">
        <v>7</v>
      </c>
      <c r="N2" s="371" t="s">
        <v>8</v>
      </c>
      <c r="O2" s="372" t="s">
        <v>9</v>
      </c>
      <c r="P2" s="373" t="s">
        <v>10</v>
      </c>
      <c r="Q2" s="374" t="s">
        <v>11</v>
      </c>
      <c r="R2" s="375" t="s">
        <v>12</v>
      </c>
      <c r="S2" s="376" t="s">
        <v>13</v>
      </c>
      <c r="T2" s="377" t="s">
        <v>14</v>
      </c>
      <c r="U2" s="3"/>
      <c r="V2" s="3"/>
      <c r="W2" s="3"/>
      <c r="X2" s="3"/>
    </row>
    <row r="3" spans="1:24" ht="15" customHeight="1" thickBot="1" x14ac:dyDescent="0.4">
      <c r="B3" s="92" t="s">
        <v>15</v>
      </c>
      <c r="C3" s="93" t="s">
        <v>258</v>
      </c>
      <c r="D3" s="94" t="s">
        <v>17</v>
      </c>
      <c r="E3" s="94" t="s">
        <v>18</v>
      </c>
      <c r="F3" s="94" t="s">
        <v>19</v>
      </c>
      <c r="G3" s="378">
        <v>2</v>
      </c>
      <c r="H3" s="379">
        <v>5</v>
      </c>
      <c r="I3" s="380">
        <v>7</v>
      </c>
      <c r="J3" s="381">
        <v>10</v>
      </c>
      <c r="K3" s="382">
        <v>11</v>
      </c>
      <c r="L3" s="383">
        <v>12</v>
      </c>
      <c r="M3" s="384">
        <v>13</v>
      </c>
      <c r="N3" s="385">
        <v>16</v>
      </c>
      <c r="O3" s="386">
        <v>27</v>
      </c>
      <c r="P3" s="387">
        <v>69</v>
      </c>
      <c r="Q3" s="388">
        <v>76</v>
      </c>
      <c r="R3" s="389">
        <v>77</v>
      </c>
      <c r="S3" s="231">
        <v>79</v>
      </c>
      <c r="T3" s="390">
        <v>81</v>
      </c>
      <c r="U3" s="108" t="s">
        <v>20</v>
      </c>
      <c r="V3" s="108" t="s">
        <v>21</v>
      </c>
      <c r="W3" s="108" t="s">
        <v>22</v>
      </c>
      <c r="X3" s="108" t="s">
        <v>28</v>
      </c>
    </row>
    <row r="4" spans="1:24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42" customHeight="1" thickBot="1" x14ac:dyDescent="0.4">
      <c r="B5" s="1044" t="s">
        <v>996</v>
      </c>
      <c r="C5" s="1044"/>
      <c r="D5" s="890">
        <f>SUM(D6:D35)</f>
        <v>206</v>
      </c>
      <c r="E5" s="926" t="s">
        <v>988</v>
      </c>
      <c r="F5" s="931">
        <f>SUM(F6:F35)*0.95</f>
        <v>5447.3094999999994</v>
      </c>
      <c r="G5" s="393"/>
      <c r="H5" s="394"/>
      <c r="I5" s="395"/>
      <c r="J5" s="396"/>
      <c r="K5" s="397"/>
      <c r="L5" s="398"/>
      <c r="M5" s="399"/>
      <c r="N5" s="400"/>
      <c r="O5" s="401"/>
      <c r="P5" s="402"/>
      <c r="Q5" s="403"/>
      <c r="R5" s="404"/>
      <c r="S5" s="405"/>
      <c r="T5" s="406"/>
      <c r="U5" s="407">
        <f t="shared" ref="U5" si="0">SUM(G5:T5)</f>
        <v>0</v>
      </c>
      <c r="V5" s="407">
        <f t="shared" ref="V5:V35" si="1">U5*D5</f>
        <v>0</v>
      </c>
      <c r="W5" s="408">
        <f>U5*1.12</f>
        <v>0</v>
      </c>
      <c r="X5" s="409">
        <f>U5*F5</f>
        <v>0</v>
      </c>
    </row>
    <row r="6" spans="1:24" ht="99.75" customHeight="1" thickBot="1" x14ac:dyDescent="0.4">
      <c r="B6" s="391" t="s">
        <v>259</v>
      </c>
      <c r="C6" s="245"/>
      <c r="D6" s="246">
        <v>10</v>
      </c>
      <c r="E6" s="246" t="s">
        <v>260</v>
      </c>
      <c r="F6" s="392">
        <v>91.67</v>
      </c>
      <c r="G6" s="393"/>
      <c r="H6" s="394"/>
      <c r="I6" s="395"/>
      <c r="J6" s="396"/>
      <c r="K6" s="397"/>
      <c r="L6" s="398"/>
      <c r="M6" s="399"/>
      <c r="N6" s="400"/>
      <c r="O6" s="401"/>
      <c r="P6" s="402"/>
      <c r="Q6" s="403"/>
      <c r="R6" s="404"/>
      <c r="S6" s="405"/>
      <c r="T6" s="406"/>
      <c r="U6" s="407">
        <f t="shared" ref="U6:U35" si="2">SUM(G6:T6)</f>
        <v>0</v>
      </c>
      <c r="V6" s="407">
        <f t="shared" si="1"/>
        <v>0</v>
      </c>
      <c r="W6" s="408">
        <f>U6*1.12</f>
        <v>0</v>
      </c>
      <c r="X6" s="409">
        <f>U6*F6</f>
        <v>0</v>
      </c>
    </row>
    <row r="7" spans="1:24" ht="99.75" customHeight="1" thickBot="1" x14ac:dyDescent="0.4">
      <c r="B7" s="163" t="s">
        <v>261</v>
      </c>
      <c r="C7" s="143"/>
      <c r="D7" s="144">
        <v>10</v>
      </c>
      <c r="E7" s="144" t="s">
        <v>262</v>
      </c>
      <c r="F7" s="392">
        <v>109.18</v>
      </c>
      <c r="G7" s="146"/>
      <c r="H7" s="147"/>
      <c r="I7" s="148"/>
      <c r="J7" s="149"/>
      <c r="K7" s="150"/>
      <c r="L7" s="151"/>
      <c r="M7" s="152"/>
      <c r="N7" s="153"/>
      <c r="O7" s="154"/>
      <c r="P7" s="155"/>
      <c r="Q7" s="156"/>
      <c r="R7" s="157"/>
      <c r="S7" s="158"/>
      <c r="T7" s="159"/>
      <c r="U7" s="407">
        <f t="shared" si="2"/>
        <v>0</v>
      </c>
      <c r="V7" s="407">
        <f t="shared" si="1"/>
        <v>0</v>
      </c>
      <c r="W7" s="410">
        <f>U7*1.49</f>
        <v>0</v>
      </c>
      <c r="X7" s="161">
        <f>F7*U7</f>
        <v>0</v>
      </c>
    </row>
    <row r="8" spans="1:24" ht="99.75" customHeight="1" thickBot="1" x14ac:dyDescent="0.4">
      <c r="B8" s="39" t="s">
        <v>263</v>
      </c>
      <c r="C8" s="263"/>
      <c r="D8" s="40">
        <v>10</v>
      </c>
      <c r="E8" s="40" t="s">
        <v>264</v>
      </c>
      <c r="F8" s="392">
        <v>95.79</v>
      </c>
      <c r="G8" s="115"/>
      <c r="H8" s="116"/>
      <c r="I8" s="139"/>
      <c r="J8" s="132"/>
      <c r="K8" s="140"/>
      <c r="L8" s="120"/>
      <c r="M8" s="121"/>
      <c r="N8" s="122"/>
      <c r="O8" s="123"/>
      <c r="P8" s="124"/>
      <c r="Q8" s="125"/>
      <c r="R8" s="126"/>
      <c r="S8" s="127"/>
      <c r="T8" s="128"/>
      <c r="U8" s="407">
        <f t="shared" si="2"/>
        <v>0</v>
      </c>
      <c r="V8" s="407">
        <f t="shared" si="1"/>
        <v>0</v>
      </c>
      <c r="W8" s="411">
        <f>U8*1.22</f>
        <v>0</v>
      </c>
      <c r="X8" s="412">
        <f>U8*F8</f>
        <v>0</v>
      </c>
    </row>
    <row r="9" spans="1:24" ht="99.75" customHeight="1" thickBot="1" x14ac:dyDescent="0.4">
      <c r="B9" s="164" t="s">
        <v>81</v>
      </c>
      <c r="C9" s="165"/>
      <c r="D9" s="113">
        <v>10</v>
      </c>
      <c r="E9" s="113" t="s">
        <v>265</v>
      </c>
      <c r="F9" s="392">
        <v>84.460000000000008</v>
      </c>
      <c r="G9" s="115"/>
      <c r="H9" s="116"/>
      <c r="I9" s="139"/>
      <c r="J9" s="132"/>
      <c r="K9" s="140"/>
      <c r="L9" s="120"/>
      <c r="M9" s="121"/>
      <c r="N9" s="122"/>
      <c r="O9" s="123"/>
      <c r="P9" s="124"/>
      <c r="Q9" s="125"/>
      <c r="R9" s="126"/>
      <c r="S9" s="127"/>
      <c r="T9" s="128"/>
      <c r="U9" s="407">
        <f t="shared" si="2"/>
        <v>0</v>
      </c>
      <c r="V9" s="407">
        <f t="shared" si="1"/>
        <v>0</v>
      </c>
      <c r="W9" s="413">
        <f>U9*1</f>
        <v>0</v>
      </c>
      <c r="X9" s="166">
        <f>F9*U9</f>
        <v>0</v>
      </c>
    </row>
    <row r="10" spans="1:24" ht="99.75" customHeight="1" thickBot="1" x14ac:dyDescent="0.4">
      <c r="B10" s="39" t="s">
        <v>266</v>
      </c>
      <c r="C10" s="263"/>
      <c r="D10" s="40">
        <v>10</v>
      </c>
      <c r="E10" s="40" t="s">
        <v>267</v>
      </c>
      <c r="F10" s="392">
        <v>184.37</v>
      </c>
      <c r="G10" s="115"/>
      <c r="H10" s="116"/>
      <c r="I10" s="139"/>
      <c r="J10" s="132"/>
      <c r="K10" s="140"/>
      <c r="L10" s="120"/>
      <c r="M10" s="121"/>
      <c r="N10" s="122"/>
      <c r="O10" s="123"/>
      <c r="P10" s="124"/>
      <c r="Q10" s="125"/>
      <c r="R10" s="126"/>
      <c r="S10" s="127"/>
      <c r="T10" s="128"/>
      <c r="U10" s="407">
        <f t="shared" si="2"/>
        <v>0</v>
      </c>
      <c r="V10" s="407">
        <f t="shared" si="1"/>
        <v>0</v>
      </c>
      <c r="W10" s="411">
        <f>U10*3.1</f>
        <v>0</v>
      </c>
      <c r="X10" s="412">
        <f>U10*F10</f>
        <v>0</v>
      </c>
    </row>
    <row r="11" spans="1:24" ht="99.75" customHeight="1" thickBot="1" x14ac:dyDescent="0.4">
      <c r="B11" s="164" t="s">
        <v>268</v>
      </c>
      <c r="C11" s="165"/>
      <c r="D11" s="113">
        <v>5</v>
      </c>
      <c r="E11" s="113" t="s">
        <v>269</v>
      </c>
      <c r="F11" s="392">
        <v>75.19</v>
      </c>
      <c r="G11" s="115"/>
      <c r="H11" s="116"/>
      <c r="I11" s="139"/>
      <c r="J11" s="132"/>
      <c r="K11" s="140"/>
      <c r="L11" s="120"/>
      <c r="M11" s="121"/>
      <c r="N11" s="122"/>
      <c r="O11" s="123"/>
      <c r="P11" s="124"/>
      <c r="Q11" s="125"/>
      <c r="R11" s="126"/>
      <c r="S11" s="127"/>
      <c r="T11" s="128"/>
      <c r="U11" s="407">
        <f t="shared" si="2"/>
        <v>0</v>
      </c>
      <c r="V11" s="407">
        <f t="shared" si="1"/>
        <v>0</v>
      </c>
      <c r="W11" s="413">
        <f>U11*1.13</f>
        <v>0</v>
      </c>
      <c r="X11" s="166">
        <f>F11*U11</f>
        <v>0</v>
      </c>
    </row>
    <row r="12" spans="1:24" ht="99.75" customHeight="1" thickBot="1" x14ac:dyDescent="0.4">
      <c r="B12" s="164" t="s">
        <v>270</v>
      </c>
      <c r="C12" s="165"/>
      <c r="D12" s="113">
        <v>10</v>
      </c>
      <c r="E12" s="113" t="s">
        <v>271</v>
      </c>
      <c r="F12" s="392">
        <v>101.97</v>
      </c>
      <c r="G12" s="115"/>
      <c r="H12" s="116"/>
      <c r="I12" s="139"/>
      <c r="J12" s="132"/>
      <c r="K12" s="140"/>
      <c r="L12" s="120"/>
      <c r="M12" s="121"/>
      <c r="N12" s="122"/>
      <c r="O12" s="123"/>
      <c r="P12" s="124"/>
      <c r="Q12" s="125"/>
      <c r="R12" s="126"/>
      <c r="S12" s="127"/>
      <c r="T12" s="128"/>
      <c r="U12" s="407">
        <f t="shared" si="2"/>
        <v>0</v>
      </c>
      <c r="V12" s="407">
        <f t="shared" si="1"/>
        <v>0</v>
      </c>
      <c r="W12" s="413">
        <f>U12*1.4</f>
        <v>0</v>
      </c>
      <c r="X12" s="166">
        <f t="shared" ref="X12:X13" si="3">U12*F12</f>
        <v>0</v>
      </c>
    </row>
    <row r="13" spans="1:24" ht="99.75" customHeight="1" thickBot="1" x14ac:dyDescent="0.4">
      <c r="B13" s="39" t="s">
        <v>272</v>
      </c>
      <c r="C13" s="263"/>
      <c r="D13" s="40">
        <v>5</v>
      </c>
      <c r="E13" s="40" t="s">
        <v>273</v>
      </c>
      <c r="F13" s="392">
        <v>227.63</v>
      </c>
      <c r="G13" s="115"/>
      <c r="H13" s="116"/>
      <c r="I13" s="139"/>
      <c r="J13" s="132"/>
      <c r="K13" s="140"/>
      <c r="L13" s="120"/>
      <c r="M13" s="121"/>
      <c r="N13" s="122"/>
      <c r="O13" s="123"/>
      <c r="P13" s="124"/>
      <c r="Q13" s="125"/>
      <c r="R13" s="126"/>
      <c r="S13" s="127"/>
      <c r="T13" s="128"/>
      <c r="U13" s="407">
        <f t="shared" si="2"/>
        <v>0</v>
      </c>
      <c r="V13" s="407">
        <f t="shared" si="1"/>
        <v>0</v>
      </c>
      <c r="W13" s="411">
        <f>U13*4.25</f>
        <v>0</v>
      </c>
      <c r="X13" s="412">
        <f t="shared" si="3"/>
        <v>0</v>
      </c>
    </row>
    <row r="14" spans="1:24" ht="99.75" customHeight="1" thickBot="1" x14ac:dyDescent="0.4">
      <c r="B14" s="164" t="s">
        <v>274</v>
      </c>
      <c r="C14" s="165"/>
      <c r="D14" s="113">
        <v>5</v>
      </c>
      <c r="E14" s="113" t="s">
        <v>275</v>
      </c>
      <c r="F14" s="392">
        <v>168.92000000000002</v>
      </c>
      <c r="G14" s="115"/>
      <c r="H14" s="116"/>
      <c r="I14" s="139"/>
      <c r="J14" s="132"/>
      <c r="K14" s="140"/>
      <c r="L14" s="120"/>
      <c r="M14" s="121"/>
      <c r="N14" s="122"/>
      <c r="O14" s="123"/>
      <c r="P14" s="124"/>
      <c r="Q14" s="125"/>
      <c r="R14" s="126"/>
      <c r="S14" s="127"/>
      <c r="T14" s="128"/>
      <c r="U14" s="407">
        <f t="shared" si="2"/>
        <v>0</v>
      </c>
      <c r="V14" s="407">
        <f t="shared" si="1"/>
        <v>0</v>
      </c>
      <c r="W14" s="413">
        <f>U14*1.77</f>
        <v>0</v>
      </c>
      <c r="X14" s="166">
        <f t="shared" ref="X14:X15" si="4">F14*U14</f>
        <v>0</v>
      </c>
    </row>
    <row r="15" spans="1:24" ht="99.75" customHeight="1" thickBot="1" x14ac:dyDescent="0.4">
      <c r="B15" s="164" t="s">
        <v>276</v>
      </c>
      <c r="C15" s="165"/>
      <c r="D15" s="113">
        <v>5</v>
      </c>
      <c r="E15" s="113" t="s">
        <v>277</v>
      </c>
      <c r="F15" s="392">
        <v>212.18</v>
      </c>
      <c r="G15" s="115"/>
      <c r="H15" s="116"/>
      <c r="I15" s="139"/>
      <c r="J15" s="132"/>
      <c r="K15" s="140"/>
      <c r="L15" s="120"/>
      <c r="M15" s="121"/>
      <c r="N15" s="122"/>
      <c r="O15" s="123"/>
      <c r="P15" s="124"/>
      <c r="Q15" s="125"/>
      <c r="R15" s="126"/>
      <c r="S15" s="127"/>
      <c r="T15" s="128"/>
      <c r="U15" s="407">
        <f t="shared" si="2"/>
        <v>0</v>
      </c>
      <c r="V15" s="407">
        <f t="shared" si="1"/>
        <v>0</v>
      </c>
      <c r="W15" s="413">
        <f>U15*2.53</f>
        <v>0</v>
      </c>
      <c r="X15" s="166">
        <f t="shared" si="4"/>
        <v>0</v>
      </c>
    </row>
    <row r="16" spans="1:24" ht="99.75" customHeight="1" thickBot="1" x14ac:dyDescent="0.4">
      <c r="B16" s="164" t="s">
        <v>278</v>
      </c>
      <c r="C16" s="165"/>
      <c r="D16" s="113">
        <v>3</v>
      </c>
      <c r="E16" s="113" t="s">
        <v>279</v>
      </c>
      <c r="F16" s="392">
        <v>108.15</v>
      </c>
      <c r="G16" s="115"/>
      <c r="H16" s="116"/>
      <c r="I16" s="139"/>
      <c r="J16" s="132"/>
      <c r="K16" s="140"/>
      <c r="L16" s="120"/>
      <c r="M16" s="121"/>
      <c r="N16" s="122"/>
      <c r="O16" s="123"/>
      <c r="P16" s="124"/>
      <c r="Q16" s="125"/>
      <c r="R16" s="126"/>
      <c r="S16" s="127"/>
      <c r="T16" s="128"/>
      <c r="U16" s="407">
        <f t="shared" si="2"/>
        <v>0</v>
      </c>
      <c r="V16" s="407">
        <f t="shared" si="1"/>
        <v>0</v>
      </c>
      <c r="W16" s="413">
        <f>U16*1.2</f>
        <v>0</v>
      </c>
      <c r="X16" s="166">
        <f t="shared" ref="X16:X17" si="5">U16*F16</f>
        <v>0</v>
      </c>
    </row>
    <row r="17" spans="2:24" ht="99.75" customHeight="1" thickBot="1" x14ac:dyDescent="0.4">
      <c r="B17" s="39" t="s">
        <v>280</v>
      </c>
      <c r="C17" s="263"/>
      <c r="D17" s="40">
        <v>10</v>
      </c>
      <c r="E17" s="40" t="s">
        <v>281</v>
      </c>
      <c r="F17" s="392">
        <v>127.72</v>
      </c>
      <c r="G17" s="115"/>
      <c r="H17" s="116"/>
      <c r="I17" s="139"/>
      <c r="J17" s="132"/>
      <c r="K17" s="414"/>
      <c r="L17" s="120"/>
      <c r="M17" s="121"/>
      <c r="N17" s="122"/>
      <c r="O17" s="123"/>
      <c r="P17" s="124"/>
      <c r="Q17" s="125"/>
      <c r="R17" s="126"/>
      <c r="S17" s="127"/>
      <c r="T17" s="128"/>
      <c r="U17" s="407">
        <f t="shared" si="2"/>
        <v>0</v>
      </c>
      <c r="V17" s="407">
        <f t="shared" si="1"/>
        <v>0</v>
      </c>
      <c r="W17" s="411">
        <f>U17*1.86</f>
        <v>0</v>
      </c>
      <c r="X17" s="412">
        <f t="shared" si="5"/>
        <v>0</v>
      </c>
    </row>
    <row r="18" spans="2:24" ht="99.75" customHeight="1" thickBot="1" x14ac:dyDescent="0.4">
      <c r="B18" s="164" t="s">
        <v>282</v>
      </c>
      <c r="C18" s="165"/>
      <c r="D18" s="113">
        <v>10</v>
      </c>
      <c r="E18" s="113" t="s">
        <v>283</v>
      </c>
      <c r="F18" s="392">
        <v>143.17000000000002</v>
      </c>
      <c r="G18" s="115"/>
      <c r="H18" s="116"/>
      <c r="I18" s="139"/>
      <c r="J18" s="132"/>
      <c r="K18" s="414"/>
      <c r="L18" s="120"/>
      <c r="M18" s="121"/>
      <c r="N18" s="122"/>
      <c r="O18" s="123"/>
      <c r="P18" s="124"/>
      <c r="Q18" s="125"/>
      <c r="R18" s="126"/>
      <c r="S18" s="127"/>
      <c r="T18" s="128"/>
      <c r="U18" s="407">
        <f t="shared" si="2"/>
        <v>0</v>
      </c>
      <c r="V18" s="407">
        <f t="shared" si="1"/>
        <v>0</v>
      </c>
      <c r="W18" s="413">
        <f>U18*2.2</f>
        <v>0</v>
      </c>
      <c r="X18" s="166">
        <f t="shared" ref="X18:X21" si="6">F18*U18</f>
        <v>0</v>
      </c>
    </row>
    <row r="19" spans="2:24" ht="99.75" customHeight="1" thickBot="1" x14ac:dyDescent="0.4">
      <c r="B19" s="164" t="s">
        <v>284</v>
      </c>
      <c r="C19" s="165"/>
      <c r="D19" s="113">
        <v>10</v>
      </c>
      <c r="E19" s="113" t="s">
        <v>285</v>
      </c>
      <c r="F19" s="392">
        <v>181.28</v>
      </c>
      <c r="G19" s="115"/>
      <c r="H19" s="116"/>
      <c r="I19" s="139"/>
      <c r="J19" s="132"/>
      <c r="K19" s="414"/>
      <c r="L19" s="120"/>
      <c r="M19" s="121"/>
      <c r="N19" s="122"/>
      <c r="O19" s="123"/>
      <c r="P19" s="124"/>
      <c r="Q19" s="125"/>
      <c r="R19" s="126"/>
      <c r="S19" s="127"/>
      <c r="T19" s="128"/>
      <c r="U19" s="407">
        <f t="shared" si="2"/>
        <v>0</v>
      </c>
      <c r="V19" s="407">
        <f t="shared" si="1"/>
        <v>0</v>
      </c>
      <c r="W19" s="413">
        <f>U19*3</f>
        <v>0</v>
      </c>
      <c r="X19" s="166">
        <f t="shared" si="6"/>
        <v>0</v>
      </c>
    </row>
    <row r="20" spans="2:24" ht="99.75" customHeight="1" thickBot="1" x14ac:dyDescent="0.4">
      <c r="B20" s="164" t="s">
        <v>286</v>
      </c>
      <c r="C20" s="165"/>
      <c r="D20" s="113">
        <v>10</v>
      </c>
      <c r="E20" s="113" t="s">
        <v>287</v>
      </c>
      <c r="F20" s="392">
        <v>183.34</v>
      </c>
      <c r="G20" s="115"/>
      <c r="H20" s="116"/>
      <c r="I20" s="139"/>
      <c r="J20" s="132"/>
      <c r="K20" s="414"/>
      <c r="L20" s="120"/>
      <c r="M20" s="121"/>
      <c r="N20" s="122"/>
      <c r="O20" s="123"/>
      <c r="P20" s="124"/>
      <c r="Q20" s="125"/>
      <c r="R20" s="126"/>
      <c r="S20" s="127"/>
      <c r="T20" s="128"/>
      <c r="U20" s="407">
        <f t="shared" si="2"/>
        <v>0</v>
      </c>
      <c r="V20" s="407">
        <f t="shared" si="1"/>
        <v>0</v>
      </c>
      <c r="W20" s="413">
        <f>U20*3.1</f>
        <v>0</v>
      </c>
      <c r="X20" s="166">
        <f t="shared" si="6"/>
        <v>0</v>
      </c>
    </row>
    <row r="21" spans="2:24" ht="99.75" customHeight="1" thickBot="1" x14ac:dyDescent="0.4">
      <c r="B21" s="164" t="s">
        <v>288</v>
      </c>
      <c r="C21" s="165"/>
      <c r="D21" s="113">
        <v>10</v>
      </c>
      <c r="E21" s="113" t="s">
        <v>289</v>
      </c>
      <c r="F21" s="392">
        <v>208.06</v>
      </c>
      <c r="G21" s="115"/>
      <c r="H21" s="116"/>
      <c r="I21" s="139"/>
      <c r="J21" s="132"/>
      <c r="K21" s="414"/>
      <c r="L21" s="120"/>
      <c r="M21" s="121"/>
      <c r="N21" s="122"/>
      <c r="O21" s="123"/>
      <c r="P21" s="124"/>
      <c r="Q21" s="125"/>
      <c r="R21" s="126"/>
      <c r="S21" s="127"/>
      <c r="T21" s="128"/>
      <c r="U21" s="407">
        <f t="shared" si="2"/>
        <v>0</v>
      </c>
      <c r="V21" s="407">
        <f t="shared" si="1"/>
        <v>0</v>
      </c>
      <c r="W21" s="413">
        <f>U21*3.53</f>
        <v>0</v>
      </c>
      <c r="X21" s="166">
        <f t="shared" si="6"/>
        <v>0</v>
      </c>
    </row>
    <row r="22" spans="2:24" ht="99.75" customHeight="1" thickBot="1" x14ac:dyDescent="0.4">
      <c r="B22" s="39" t="s">
        <v>290</v>
      </c>
      <c r="C22" s="263"/>
      <c r="D22" s="40">
        <v>10</v>
      </c>
      <c r="E22" s="40" t="s">
        <v>291</v>
      </c>
      <c r="F22" s="392">
        <v>158.62</v>
      </c>
      <c r="G22" s="115"/>
      <c r="H22" s="116"/>
      <c r="I22" s="139"/>
      <c r="J22" s="132"/>
      <c r="K22" s="414"/>
      <c r="L22" s="120"/>
      <c r="M22" s="121"/>
      <c r="N22" s="122"/>
      <c r="O22" s="123"/>
      <c r="P22" s="124"/>
      <c r="Q22" s="125"/>
      <c r="R22" s="126"/>
      <c r="S22" s="127"/>
      <c r="T22" s="128"/>
      <c r="U22" s="407">
        <f t="shared" si="2"/>
        <v>0</v>
      </c>
      <c r="V22" s="407">
        <f t="shared" si="1"/>
        <v>0</v>
      </c>
      <c r="W22" s="411">
        <f>U22*2.49</f>
        <v>0</v>
      </c>
      <c r="X22" s="412">
        <f t="shared" ref="X22:X35" si="7">U22*F22</f>
        <v>0</v>
      </c>
    </row>
    <row r="23" spans="2:24" ht="99.75" customHeight="1" thickBot="1" x14ac:dyDescent="0.4">
      <c r="B23" s="39" t="s">
        <v>292</v>
      </c>
      <c r="C23" s="263"/>
      <c r="D23" s="40">
        <v>10</v>
      </c>
      <c r="E23" s="40" t="s">
        <v>293</v>
      </c>
      <c r="F23" s="392">
        <v>255.44</v>
      </c>
      <c r="G23" s="115"/>
      <c r="H23" s="116"/>
      <c r="I23" s="139"/>
      <c r="J23" s="132"/>
      <c r="K23" s="414"/>
      <c r="L23" s="120"/>
      <c r="M23" s="121"/>
      <c r="N23" s="122"/>
      <c r="O23" s="123"/>
      <c r="P23" s="124"/>
      <c r="Q23" s="125"/>
      <c r="R23" s="126"/>
      <c r="S23" s="127"/>
      <c r="T23" s="128"/>
      <c r="U23" s="407">
        <f t="shared" si="2"/>
        <v>0</v>
      </c>
      <c r="V23" s="407">
        <f t="shared" si="1"/>
        <v>0</v>
      </c>
      <c r="W23" s="411">
        <f>U23*4.42</f>
        <v>0</v>
      </c>
      <c r="X23" s="412">
        <f t="shared" si="7"/>
        <v>0</v>
      </c>
    </row>
    <row r="24" spans="2:24" ht="99.75" customHeight="1" thickBot="1" x14ac:dyDescent="0.4">
      <c r="B24" s="39" t="s">
        <v>294</v>
      </c>
      <c r="C24" s="263"/>
      <c r="D24" s="40">
        <v>10</v>
      </c>
      <c r="E24" s="40" t="s">
        <v>295</v>
      </c>
      <c r="F24" s="392">
        <v>201.88</v>
      </c>
      <c r="G24" s="115"/>
      <c r="H24" s="116"/>
      <c r="I24" s="139"/>
      <c r="J24" s="132"/>
      <c r="K24" s="414"/>
      <c r="L24" s="120"/>
      <c r="M24" s="121"/>
      <c r="N24" s="122"/>
      <c r="O24" s="123"/>
      <c r="P24" s="124"/>
      <c r="Q24" s="125"/>
      <c r="R24" s="126"/>
      <c r="S24" s="127"/>
      <c r="T24" s="128"/>
      <c r="U24" s="407">
        <f t="shared" si="2"/>
        <v>0</v>
      </c>
      <c r="V24" s="407">
        <f t="shared" si="1"/>
        <v>0</v>
      </c>
      <c r="W24" s="411">
        <f>U24*3.4</f>
        <v>0</v>
      </c>
      <c r="X24" s="412">
        <f t="shared" si="7"/>
        <v>0</v>
      </c>
    </row>
    <row r="25" spans="2:24" ht="99.75" customHeight="1" thickBot="1" x14ac:dyDescent="0.4">
      <c r="B25" s="164" t="s">
        <v>296</v>
      </c>
      <c r="C25" s="165"/>
      <c r="D25" s="113">
        <v>10</v>
      </c>
      <c r="E25" s="113" t="s">
        <v>297</v>
      </c>
      <c r="F25" s="392">
        <v>313.12</v>
      </c>
      <c r="G25" s="415"/>
      <c r="H25" s="116"/>
      <c r="I25" s="139"/>
      <c r="J25" s="132"/>
      <c r="K25" s="414"/>
      <c r="L25" s="120"/>
      <c r="M25" s="121"/>
      <c r="N25" s="122"/>
      <c r="O25" s="123"/>
      <c r="P25" s="124"/>
      <c r="Q25" s="125"/>
      <c r="R25" s="126"/>
      <c r="S25" s="127"/>
      <c r="T25" s="128"/>
      <c r="U25" s="407">
        <f t="shared" si="2"/>
        <v>0</v>
      </c>
      <c r="V25" s="407">
        <f t="shared" si="1"/>
        <v>0</v>
      </c>
      <c r="W25" s="413">
        <f>U25*5.7</f>
        <v>0</v>
      </c>
      <c r="X25" s="166">
        <f t="shared" si="7"/>
        <v>0</v>
      </c>
    </row>
    <row r="26" spans="2:24" ht="99.75" customHeight="1" thickBot="1" x14ac:dyDescent="0.4">
      <c r="B26" s="164" t="s">
        <v>298</v>
      </c>
      <c r="C26" s="165"/>
      <c r="D26" s="416">
        <v>5</v>
      </c>
      <c r="E26" s="113" t="s">
        <v>299</v>
      </c>
      <c r="F26" s="392">
        <v>193.64000000000001</v>
      </c>
      <c r="G26" s="115"/>
      <c r="H26" s="116"/>
      <c r="I26" s="139"/>
      <c r="J26" s="132"/>
      <c r="K26" s="140"/>
      <c r="L26" s="120"/>
      <c r="M26" s="121"/>
      <c r="N26" s="122"/>
      <c r="O26" s="123"/>
      <c r="P26" s="124"/>
      <c r="Q26" s="125"/>
      <c r="R26" s="126"/>
      <c r="S26" s="127"/>
      <c r="T26" s="128"/>
      <c r="U26" s="407">
        <f t="shared" si="2"/>
        <v>0</v>
      </c>
      <c r="V26" s="407">
        <f t="shared" si="1"/>
        <v>0</v>
      </c>
      <c r="W26" s="413">
        <f>U26*2.2</f>
        <v>0</v>
      </c>
      <c r="X26" s="166">
        <f t="shared" si="7"/>
        <v>0</v>
      </c>
    </row>
    <row r="27" spans="2:24" ht="99.75" customHeight="1" thickBot="1" x14ac:dyDescent="0.4">
      <c r="B27" s="164" t="s">
        <v>126</v>
      </c>
      <c r="C27" s="165"/>
      <c r="D27" s="113">
        <v>5</v>
      </c>
      <c r="E27" s="113" t="s">
        <v>300</v>
      </c>
      <c r="F27" s="392">
        <v>206</v>
      </c>
      <c r="G27" s="115"/>
      <c r="H27" s="116"/>
      <c r="I27" s="139"/>
      <c r="J27" s="132"/>
      <c r="K27" s="140"/>
      <c r="L27" s="120"/>
      <c r="M27" s="121"/>
      <c r="N27" s="122"/>
      <c r="O27" s="123"/>
      <c r="P27" s="124"/>
      <c r="Q27" s="125"/>
      <c r="R27" s="126"/>
      <c r="S27" s="127"/>
      <c r="T27" s="128"/>
      <c r="U27" s="407">
        <f t="shared" si="2"/>
        <v>0</v>
      </c>
      <c r="V27" s="407">
        <f t="shared" si="1"/>
        <v>0</v>
      </c>
      <c r="W27" s="413">
        <f>U27*2.4</f>
        <v>0</v>
      </c>
      <c r="X27" s="166">
        <f t="shared" si="7"/>
        <v>0</v>
      </c>
    </row>
    <row r="28" spans="2:24" ht="99.75" customHeight="1" thickBot="1" x14ac:dyDescent="0.4">
      <c r="B28" s="164" t="s">
        <v>301</v>
      </c>
      <c r="C28" s="165"/>
      <c r="D28" s="113">
        <v>5</v>
      </c>
      <c r="E28" s="113" t="s">
        <v>302</v>
      </c>
      <c r="F28" s="392">
        <v>290.45999999999998</v>
      </c>
      <c r="G28" s="115"/>
      <c r="H28" s="116"/>
      <c r="I28" s="139"/>
      <c r="J28" s="132"/>
      <c r="K28" s="140"/>
      <c r="L28" s="120"/>
      <c r="M28" s="121"/>
      <c r="N28" s="122"/>
      <c r="O28" s="123"/>
      <c r="P28" s="124"/>
      <c r="Q28" s="125"/>
      <c r="R28" s="126"/>
      <c r="S28" s="127"/>
      <c r="T28" s="128"/>
      <c r="U28" s="407">
        <f t="shared" si="2"/>
        <v>0</v>
      </c>
      <c r="V28" s="407">
        <f t="shared" si="1"/>
        <v>0</v>
      </c>
      <c r="W28" s="413">
        <f>U28*3.88</f>
        <v>0</v>
      </c>
      <c r="X28" s="166">
        <f t="shared" si="7"/>
        <v>0</v>
      </c>
    </row>
    <row r="29" spans="2:24" ht="99.75" customHeight="1" thickBot="1" x14ac:dyDescent="0.4">
      <c r="B29" s="164" t="s">
        <v>303</v>
      </c>
      <c r="C29" s="165"/>
      <c r="D29" s="113">
        <v>5</v>
      </c>
      <c r="E29" s="113" t="s">
        <v>304</v>
      </c>
      <c r="F29" s="392">
        <v>437.75</v>
      </c>
      <c r="G29" s="115"/>
      <c r="H29" s="116"/>
      <c r="I29" s="139"/>
      <c r="J29" s="132"/>
      <c r="K29" s="140"/>
      <c r="L29" s="120"/>
      <c r="M29" s="121"/>
      <c r="N29" s="122"/>
      <c r="O29" s="123"/>
      <c r="P29" s="124"/>
      <c r="Q29" s="125"/>
      <c r="R29" s="126"/>
      <c r="S29" s="127"/>
      <c r="T29" s="128"/>
      <c r="U29" s="407">
        <f t="shared" si="2"/>
        <v>0</v>
      </c>
      <c r="V29" s="407">
        <f t="shared" si="1"/>
        <v>0</v>
      </c>
      <c r="W29" s="413">
        <f>U29*6.44</f>
        <v>0</v>
      </c>
      <c r="X29" s="166">
        <f t="shared" si="7"/>
        <v>0</v>
      </c>
    </row>
    <row r="30" spans="2:24" ht="99.75" customHeight="1" thickBot="1" x14ac:dyDescent="0.4">
      <c r="B30" s="265" t="s">
        <v>305</v>
      </c>
      <c r="C30" s="165"/>
      <c r="D30" s="113">
        <v>3</v>
      </c>
      <c r="E30" s="113" t="s">
        <v>306</v>
      </c>
      <c r="F30" s="392">
        <v>211.15</v>
      </c>
      <c r="G30" s="115"/>
      <c r="H30" s="116"/>
      <c r="I30" s="139"/>
      <c r="J30" s="132"/>
      <c r="K30" s="140"/>
      <c r="L30" s="120"/>
      <c r="M30" s="121"/>
      <c r="N30" s="122"/>
      <c r="O30" s="123"/>
      <c r="P30" s="124"/>
      <c r="Q30" s="125"/>
      <c r="R30" s="126"/>
      <c r="S30" s="127"/>
      <c r="T30" s="128"/>
      <c r="U30" s="407">
        <f t="shared" si="2"/>
        <v>0</v>
      </c>
      <c r="V30" s="407">
        <f t="shared" si="1"/>
        <v>0</v>
      </c>
      <c r="W30" s="413">
        <f>U30*3</f>
        <v>0</v>
      </c>
      <c r="X30" s="166">
        <f t="shared" si="7"/>
        <v>0</v>
      </c>
    </row>
    <row r="31" spans="2:24" ht="99.75" customHeight="1" thickBot="1" x14ac:dyDescent="0.4">
      <c r="B31" s="164" t="s">
        <v>307</v>
      </c>
      <c r="C31" s="165"/>
      <c r="D31" s="113">
        <v>3</v>
      </c>
      <c r="E31" s="113" t="s">
        <v>308</v>
      </c>
      <c r="F31" s="392">
        <v>223.51000000000002</v>
      </c>
      <c r="G31" s="115"/>
      <c r="H31" s="116"/>
      <c r="I31" s="139"/>
      <c r="J31" s="132"/>
      <c r="K31" s="140"/>
      <c r="L31" s="120"/>
      <c r="M31" s="121"/>
      <c r="N31" s="122"/>
      <c r="O31" s="123"/>
      <c r="P31" s="124"/>
      <c r="Q31" s="125"/>
      <c r="R31" s="126"/>
      <c r="S31" s="127"/>
      <c r="T31" s="128"/>
      <c r="U31" s="407">
        <f t="shared" si="2"/>
        <v>0</v>
      </c>
      <c r="V31" s="407">
        <f t="shared" si="1"/>
        <v>0</v>
      </c>
      <c r="W31" s="413">
        <f>U31*3.18</f>
        <v>0</v>
      </c>
      <c r="X31" s="166">
        <f t="shared" si="7"/>
        <v>0</v>
      </c>
    </row>
    <row r="32" spans="2:24" ht="99.75" customHeight="1" thickBot="1" x14ac:dyDescent="0.4">
      <c r="B32" s="265" t="s">
        <v>309</v>
      </c>
      <c r="C32" s="165"/>
      <c r="D32" s="113">
        <v>3</v>
      </c>
      <c r="E32" s="113" t="s">
        <v>310</v>
      </c>
      <c r="F32" s="392">
        <v>192.61</v>
      </c>
      <c r="G32" s="115"/>
      <c r="H32" s="116"/>
      <c r="I32" s="139"/>
      <c r="J32" s="132"/>
      <c r="K32" s="140"/>
      <c r="L32" s="120"/>
      <c r="M32" s="121"/>
      <c r="N32" s="122"/>
      <c r="O32" s="123"/>
      <c r="P32" s="124"/>
      <c r="Q32" s="125"/>
      <c r="R32" s="126"/>
      <c r="S32" s="127"/>
      <c r="T32" s="128"/>
      <c r="U32" s="407">
        <f t="shared" si="2"/>
        <v>0</v>
      </c>
      <c r="V32" s="407">
        <f t="shared" si="1"/>
        <v>0</v>
      </c>
      <c r="W32" s="413">
        <f>U32*2.7</f>
        <v>0</v>
      </c>
      <c r="X32" s="166">
        <f t="shared" si="7"/>
        <v>0</v>
      </c>
    </row>
    <row r="33" spans="2:24" ht="99.75" customHeight="1" thickBot="1" x14ac:dyDescent="0.4">
      <c r="B33" s="164" t="s">
        <v>311</v>
      </c>
      <c r="C33" s="165"/>
      <c r="D33" s="113">
        <v>2</v>
      </c>
      <c r="E33" s="113" t="s">
        <v>312</v>
      </c>
      <c r="F33" s="392">
        <v>393.46000000000004</v>
      </c>
      <c r="G33" s="115"/>
      <c r="H33" s="116"/>
      <c r="I33" s="139"/>
      <c r="J33" s="132"/>
      <c r="K33" s="140"/>
      <c r="L33" s="120"/>
      <c r="M33" s="121"/>
      <c r="N33" s="122"/>
      <c r="O33" s="123"/>
      <c r="P33" s="124"/>
      <c r="Q33" s="125"/>
      <c r="R33" s="126"/>
      <c r="S33" s="127"/>
      <c r="T33" s="128"/>
      <c r="U33" s="407">
        <f t="shared" si="2"/>
        <v>0</v>
      </c>
      <c r="V33" s="407">
        <f t="shared" si="1"/>
        <v>0</v>
      </c>
      <c r="W33" s="413">
        <f>U33*6.4</f>
        <v>0</v>
      </c>
      <c r="X33" s="166">
        <f t="shared" si="7"/>
        <v>0</v>
      </c>
    </row>
    <row r="34" spans="2:24" ht="99.75" customHeight="1" thickBot="1" x14ac:dyDescent="0.4">
      <c r="B34" s="164" t="s">
        <v>313</v>
      </c>
      <c r="C34" s="165"/>
      <c r="D34" s="113">
        <v>1</v>
      </c>
      <c r="E34" s="113" t="s">
        <v>314</v>
      </c>
      <c r="F34" s="392">
        <v>151.41</v>
      </c>
      <c r="G34" s="115"/>
      <c r="H34" s="116"/>
      <c r="I34" s="139"/>
      <c r="J34" s="132"/>
      <c r="K34" s="140"/>
      <c r="L34" s="120"/>
      <c r="M34" s="121"/>
      <c r="N34" s="122"/>
      <c r="O34" s="123"/>
      <c r="P34" s="124"/>
      <c r="Q34" s="125"/>
      <c r="R34" s="126"/>
      <c r="S34" s="127"/>
      <c r="T34" s="128"/>
      <c r="U34" s="407">
        <f t="shared" si="2"/>
        <v>0</v>
      </c>
      <c r="V34" s="407">
        <f t="shared" si="1"/>
        <v>0</v>
      </c>
      <c r="W34" s="413">
        <f>U34*2.35</f>
        <v>0</v>
      </c>
      <c r="X34" s="166">
        <f t="shared" si="7"/>
        <v>0</v>
      </c>
    </row>
    <row r="35" spans="2:24" ht="99.75" customHeight="1" thickBot="1" x14ac:dyDescent="0.4">
      <c r="B35" s="417" t="s">
        <v>315</v>
      </c>
      <c r="C35" s="267"/>
      <c r="D35" s="17">
        <v>1</v>
      </c>
      <c r="E35" s="17" t="s">
        <v>316</v>
      </c>
      <c r="F35" s="392">
        <v>201.88</v>
      </c>
      <c r="G35" s="418"/>
      <c r="H35" s="419"/>
      <c r="I35" s="420"/>
      <c r="J35" s="421"/>
      <c r="K35" s="422"/>
      <c r="L35" s="423"/>
      <c r="M35" s="424"/>
      <c r="N35" s="425"/>
      <c r="O35" s="426"/>
      <c r="P35" s="427"/>
      <c r="Q35" s="428"/>
      <c r="R35" s="429"/>
      <c r="S35" s="430"/>
      <c r="T35" s="431"/>
      <c r="U35" s="407">
        <f t="shared" si="2"/>
        <v>0</v>
      </c>
      <c r="V35" s="407">
        <f t="shared" si="1"/>
        <v>0</v>
      </c>
      <c r="W35" s="432">
        <f>U35*3.23</f>
        <v>0</v>
      </c>
      <c r="X35" s="433">
        <f t="shared" si="7"/>
        <v>0</v>
      </c>
    </row>
    <row r="36" spans="2:24" ht="15.75" customHeight="1" x14ac:dyDescent="0.35">
      <c r="B36" s="76"/>
      <c r="C36" s="76"/>
      <c r="D36" s="76"/>
      <c r="E36" s="76"/>
      <c r="F36" s="434"/>
      <c r="G36" s="435">
        <f t="shared" ref="G36:X36" si="8">SUM(G6:G35)</f>
        <v>0</v>
      </c>
      <c r="H36" s="435">
        <f t="shared" si="8"/>
        <v>0</v>
      </c>
      <c r="I36" s="435">
        <f t="shared" si="8"/>
        <v>0</v>
      </c>
      <c r="J36" s="435">
        <f t="shared" si="8"/>
        <v>0</v>
      </c>
      <c r="K36" s="435">
        <f t="shared" si="8"/>
        <v>0</v>
      </c>
      <c r="L36" s="435">
        <f t="shared" si="8"/>
        <v>0</v>
      </c>
      <c r="M36" s="435">
        <f t="shared" si="8"/>
        <v>0</v>
      </c>
      <c r="N36" s="435">
        <f t="shared" si="8"/>
        <v>0</v>
      </c>
      <c r="O36" s="435">
        <f t="shared" si="8"/>
        <v>0</v>
      </c>
      <c r="P36" s="435">
        <f t="shared" si="8"/>
        <v>0</v>
      </c>
      <c r="Q36" s="435">
        <f t="shared" si="8"/>
        <v>0</v>
      </c>
      <c r="R36" s="435">
        <f t="shared" si="8"/>
        <v>0</v>
      </c>
      <c r="S36" s="435">
        <f t="shared" si="8"/>
        <v>0</v>
      </c>
      <c r="T36" s="435">
        <f t="shared" si="8"/>
        <v>0</v>
      </c>
      <c r="U36" s="435">
        <f t="shared" si="8"/>
        <v>0</v>
      </c>
      <c r="V36" s="435">
        <f t="shared" si="8"/>
        <v>0</v>
      </c>
      <c r="W36" s="435">
        <f t="shared" si="8"/>
        <v>0</v>
      </c>
      <c r="X36" s="436">
        <f t="shared" si="8"/>
        <v>0</v>
      </c>
    </row>
    <row r="37" spans="2:24" ht="15.75" customHeight="1" x14ac:dyDescent="0.35"/>
    <row r="38" spans="2:24" ht="15.75" customHeight="1" x14ac:dyDescent="0.35"/>
    <row r="39" spans="2:24" ht="15.75" customHeight="1" x14ac:dyDescent="0.35"/>
    <row r="40" spans="2:24" ht="15.75" customHeight="1" x14ac:dyDescent="0.35"/>
    <row r="41" spans="2:24" ht="15.75" customHeight="1" x14ac:dyDescent="0.35"/>
    <row r="42" spans="2:24" ht="15.75" customHeight="1" x14ac:dyDescent="0.35"/>
    <row r="43" spans="2:24" ht="15.75" customHeight="1" x14ac:dyDescent="0.35"/>
    <row r="44" spans="2:24" ht="15.75" customHeight="1" x14ac:dyDescent="0.35"/>
    <row r="45" spans="2:24" ht="15.75" customHeight="1" x14ac:dyDescent="0.35"/>
    <row r="46" spans="2:24" ht="15.75" customHeight="1" x14ac:dyDescent="0.35"/>
    <row r="47" spans="2:24" ht="15.75" customHeight="1" x14ac:dyDescent="0.35"/>
    <row r="48" spans="2:24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2">
    <mergeCell ref="B2:D2"/>
    <mergeCell ref="B5:C5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outlinePr summaryBelow="0" summaryRight="0"/>
  </sheetPr>
  <dimension ref="B2:X1001"/>
  <sheetViews>
    <sheetView topLeftCell="A13" workbookViewId="0">
      <selection activeCell="E18" sqref="E18"/>
    </sheetView>
  </sheetViews>
  <sheetFormatPr defaultColWidth="14.453125" defaultRowHeight="15" customHeight="1" x14ac:dyDescent="0.35"/>
  <cols>
    <col min="2" max="2" width="11.81640625" customWidth="1"/>
    <col min="3" max="3" width="15.453125" customWidth="1"/>
    <col min="4" max="4" width="8.26953125" customWidth="1"/>
    <col min="5" max="5" width="9" customWidth="1"/>
    <col min="6" max="6" width="10" customWidth="1"/>
    <col min="7" max="11" width="9.1796875" customWidth="1"/>
    <col min="12" max="13" width="9.453125" customWidth="1"/>
    <col min="14" max="16" width="9.1796875" customWidth="1"/>
    <col min="17" max="18" width="8.81640625" customWidth="1"/>
    <col min="19" max="19" width="9.1796875" customWidth="1"/>
    <col min="20" max="20" width="9.81640625" customWidth="1"/>
    <col min="21" max="21" width="5.1796875" customWidth="1"/>
    <col min="22" max="22" width="7" customWidth="1"/>
    <col min="23" max="23" width="11.26953125" customWidth="1"/>
    <col min="24" max="24" width="12.81640625" customWidth="1"/>
  </cols>
  <sheetData>
    <row r="2" spans="2:24" ht="14.5" x14ac:dyDescent="0.35">
      <c r="F2" s="1"/>
    </row>
    <row r="3" spans="2:24" ht="33.5" x14ac:dyDescent="0.75">
      <c r="B3" s="1035" t="s">
        <v>317</v>
      </c>
      <c r="C3" s="1031"/>
      <c r="D3" s="1031"/>
      <c r="E3" s="76"/>
      <c r="F3" s="4"/>
      <c r="G3" s="77" t="s">
        <v>27</v>
      </c>
      <c r="H3" s="78" t="s">
        <v>2</v>
      </c>
      <c r="I3" s="79" t="s">
        <v>3</v>
      </c>
      <c r="J3" s="80" t="s">
        <v>4</v>
      </c>
      <c r="K3" s="81" t="s">
        <v>5</v>
      </c>
      <c r="L3" s="82" t="s">
        <v>6</v>
      </c>
      <c r="M3" s="83" t="s">
        <v>7</v>
      </c>
      <c r="N3" s="84" t="s">
        <v>8</v>
      </c>
      <c r="O3" s="85" t="s">
        <v>9</v>
      </c>
      <c r="P3" s="86" t="s">
        <v>10</v>
      </c>
      <c r="Q3" s="87" t="s">
        <v>11</v>
      </c>
      <c r="R3" s="88" t="s">
        <v>12</v>
      </c>
      <c r="S3" s="89" t="s">
        <v>13</v>
      </c>
      <c r="T3" s="90" t="s">
        <v>14</v>
      </c>
      <c r="U3" s="3"/>
      <c r="V3" s="3"/>
      <c r="W3" s="3"/>
      <c r="X3" s="91"/>
    </row>
    <row r="4" spans="2:24" ht="14.5" x14ac:dyDescent="0.35">
      <c r="B4" s="92" t="s">
        <v>15</v>
      </c>
      <c r="C4" s="93"/>
      <c r="D4" s="94" t="s">
        <v>17</v>
      </c>
      <c r="E4" s="94" t="s">
        <v>18</v>
      </c>
      <c r="F4" s="95" t="s">
        <v>19</v>
      </c>
      <c r="G4" s="96">
        <v>2</v>
      </c>
      <c r="H4" s="97">
        <v>5</v>
      </c>
      <c r="I4" s="98">
        <v>7</v>
      </c>
      <c r="J4" s="99">
        <v>10</v>
      </c>
      <c r="K4" s="100">
        <v>11</v>
      </c>
      <c r="L4" s="101">
        <v>12</v>
      </c>
      <c r="M4" s="102">
        <v>13</v>
      </c>
      <c r="N4" s="103">
        <v>16</v>
      </c>
      <c r="O4" s="104">
        <v>27</v>
      </c>
      <c r="P4" s="105">
        <v>69</v>
      </c>
      <c r="Q4" s="106">
        <v>76</v>
      </c>
      <c r="R4" s="107">
        <v>77</v>
      </c>
      <c r="S4" s="108">
        <v>79</v>
      </c>
      <c r="T4" s="109">
        <v>81</v>
      </c>
      <c r="U4" s="108" t="s">
        <v>20</v>
      </c>
      <c r="V4" s="108" t="s">
        <v>21</v>
      </c>
      <c r="W4" s="108" t="s">
        <v>22</v>
      </c>
      <c r="X4" s="110" t="s">
        <v>28</v>
      </c>
    </row>
    <row r="5" spans="2:24" ht="14.5" x14ac:dyDescent="0.35">
      <c r="B5" s="76"/>
      <c r="C5" s="76"/>
      <c r="D5" s="76"/>
      <c r="E5" s="76"/>
      <c r="F5" s="4"/>
      <c r="G5" s="3"/>
      <c r="H5" s="3"/>
      <c r="I5" s="3"/>
      <c r="J5" s="111"/>
      <c r="K5" s="3"/>
      <c r="L5" s="3"/>
      <c r="M5" s="3"/>
      <c r="N5" s="3"/>
      <c r="O5" s="3"/>
      <c r="P5" s="3"/>
      <c r="Q5" s="3"/>
      <c r="R5" s="3"/>
      <c r="S5" s="3"/>
      <c r="T5" s="112"/>
      <c r="U5" s="3"/>
      <c r="V5" s="3"/>
      <c r="W5" s="3"/>
      <c r="X5" s="91"/>
    </row>
    <row r="6" spans="2:24" ht="40.5" customHeight="1" x14ac:dyDescent="0.35">
      <c r="B6" s="1044" t="s">
        <v>996</v>
      </c>
      <c r="C6" s="1044"/>
      <c r="D6" s="890">
        <f>SUM(D7:D36)</f>
        <v>54</v>
      </c>
      <c r="E6" s="926" t="s">
        <v>988</v>
      </c>
      <c r="F6" s="931">
        <f>SUM(F7:F18)*0.95</f>
        <v>897.28449999999998</v>
      </c>
      <c r="G6" s="115"/>
      <c r="H6" s="116"/>
      <c r="I6" s="139"/>
      <c r="J6" s="118"/>
      <c r="K6" s="140"/>
      <c r="L6" s="120"/>
      <c r="M6" s="121"/>
      <c r="N6" s="122"/>
      <c r="O6" s="123"/>
      <c r="P6" s="124"/>
      <c r="Q6" s="125"/>
      <c r="R6" s="126"/>
      <c r="S6" s="127"/>
      <c r="T6" s="128"/>
      <c r="U6" s="129">
        <f t="shared" ref="U6" si="0">SUM(G6:T6)</f>
        <v>0</v>
      </c>
      <c r="V6" s="129">
        <f t="shared" ref="V6:V18" si="1">U6*D6</f>
        <v>0</v>
      </c>
      <c r="W6" s="129">
        <f>SUM(U6*0)</f>
        <v>0</v>
      </c>
      <c r="X6" s="130">
        <f t="shared" ref="X6" si="2">U6*F6</f>
        <v>0</v>
      </c>
    </row>
    <row r="7" spans="2:24" ht="74.25" customHeight="1" x14ac:dyDescent="0.35">
      <c r="B7" s="131" t="s">
        <v>318</v>
      </c>
      <c r="C7" s="113"/>
      <c r="D7" s="113">
        <v>6</v>
      </c>
      <c r="E7" s="113" t="s">
        <v>57</v>
      </c>
      <c r="F7" s="885">
        <v>32.96</v>
      </c>
      <c r="G7" s="115"/>
      <c r="H7" s="116"/>
      <c r="I7" s="139"/>
      <c r="J7" s="118"/>
      <c r="K7" s="140"/>
      <c r="L7" s="120"/>
      <c r="M7" s="121"/>
      <c r="N7" s="122"/>
      <c r="O7" s="123"/>
      <c r="P7" s="124"/>
      <c r="Q7" s="125"/>
      <c r="R7" s="126"/>
      <c r="S7" s="127"/>
      <c r="T7" s="128"/>
      <c r="U7" s="129">
        <f t="shared" ref="U7:U18" si="3">SUM(G7:T7)</f>
        <v>0</v>
      </c>
      <c r="V7" s="129">
        <f t="shared" si="1"/>
        <v>0</v>
      </c>
      <c r="W7" s="129">
        <f>SUM(U7*0.1)</f>
        <v>0</v>
      </c>
      <c r="X7" s="130">
        <f t="shared" ref="X7:X18" si="4">U7*F7</f>
        <v>0</v>
      </c>
    </row>
    <row r="8" spans="2:24" ht="89.25" customHeight="1" x14ac:dyDescent="0.35">
      <c r="B8" s="131" t="s">
        <v>319</v>
      </c>
      <c r="C8" s="113"/>
      <c r="D8" s="113">
        <v>6</v>
      </c>
      <c r="E8" s="113" t="s">
        <v>59</v>
      </c>
      <c r="F8" s="885">
        <v>38.11</v>
      </c>
      <c r="G8" s="115"/>
      <c r="H8" s="116"/>
      <c r="I8" s="139"/>
      <c r="J8" s="132"/>
      <c r="K8" s="140"/>
      <c r="L8" s="120"/>
      <c r="M8" s="121"/>
      <c r="N8" s="122"/>
      <c r="O8" s="123"/>
      <c r="P8" s="124"/>
      <c r="Q8" s="125"/>
      <c r="R8" s="126"/>
      <c r="S8" s="127"/>
      <c r="T8" s="128"/>
      <c r="U8" s="129">
        <f t="shared" si="3"/>
        <v>0</v>
      </c>
      <c r="V8" s="129">
        <f t="shared" si="1"/>
        <v>0</v>
      </c>
      <c r="W8" s="129">
        <f t="shared" ref="W8:W9" si="5">U8*0.19</f>
        <v>0</v>
      </c>
      <c r="X8" s="130">
        <f t="shared" si="4"/>
        <v>0</v>
      </c>
    </row>
    <row r="9" spans="2:24" ht="89.25" customHeight="1" x14ac:dyDescent="0.35">
      <c r="B9" s="131" t="s">
        <v>320</v>
      </c>
      <c r="C9" s="113"/>
      <c r="D9" s="113">
        <v>6</v>
      </c>
      <c r="E9" s="113" t="s">
        <v>61</v>
      </c>
      <c r="F9" s="885">
        <v>38.11</v>
      </c>
      <c r="G9" s="115"/>
      <c r="H9" s="116"/>
      <c r="I9" s="139"/>
      <c r="J9" s="132"/>
      <c r="K9" s="140"/>
      <c r="L9" s="120"/>
      <c r="M9" s="121"/>
      <c r="N9" s="122"/>
      <c r="O9" s="123"/>
      <c r="P9" s="124"/>
      <c r="Q9" s="125"/>
      <c r="R9" s="126"/>
      <c r="S9" s="127"/>
      <c r="T9" s="128"/>
      <c r="U9" s="129">
        <f t="shared" si="3"/>
        <v>0</v>
      </c>
      <c r="V9" s="129">
        <f t="shared" si="1"/>
        <v>0</v>
      </c>
      <c r="W9" s="129">
        <f t="shared" si="5"/>
        <v>0</v>
      </c>
      <c r="X9" s="130">
        <f t="shared" si="4"/>
        <v>0</v>
      </c>
    </row>
    <row r="10" spans="2:24" ht="87" customHeight="1" x14ac:dyDescent="0.35">
      <c r="B10" s="437" t="s">
        <v>321</v>
      </c>
      <c r="C10" s="114"/>
      <c r="D10" s="113">
        <v>10</v>
      </c>
      <c r="E10" s="113" t="s">
        <v>322</v>
      </c>
      <c r="F10" s="885">
        <v>84.460000000000008</v>
      </c>
      <c r="G10" s="115"/>
      <c r="H10" s="116"/>
      <c r="I10" s="139"/>
      <c r="J10" s="132"/>
      <c r="K10" s="140"/>
      <c r="L10" s="120"/>
      <c r="M10" s="121"/>
      <c r="N10" s="122"/>
      <c r="O10" s="123"/>
      <c r="P10" s="124"/>
      <c r="Q10" s="125"/>
      <c r="R10" s="126"/>
      <c r="S10" s="127"/>
      <c r="T10" s="128"/>
      <c r="U10" s="129">
        <f t="shared" si="3"/>
        <v>0</v>
      </c>
      <c r="V10" s="129">
        <f t="shared" si="1"/>
        <v>0</v>
      </c>
      <c r="W10" s="129">
        <f>U10*0.8</f>
        <v>0</v>
      </c>
      <c r="X10" s="130">
        <f t="shared" si="4"/>
        <v>0</v>
      </c>
    </row>
    <row r="11" spans="2:24" ht="87" customHeight="1" x14ac:dyDescent="0.35">
      <c r="B11" s="131" t="s">
        <v>323</v>
      </c>
      <c r="C11" s="114"/>
      <c r="D11" s="113">
        <v>6</v>
      </c>
      <c r="E11" s="113" t="s">
        <v>324</v>
      </c>
      <c r="F11" s="885">
        <v>69.010000000000005</v>
      </c>
      <c r="G11" s="115"/>
      <c r="H11" s="116"/>
      <c r="I11" s="139"/>
      <c r="J11" s="132"/>
      <c r="K11" s="140"/>
      <c r="L11" s="120"/>
      <c r="M11" s="121"/>
      <c r="N11" s="122"/>
      <c r="O11" s="123"/>
      <c r="P11" s="124"/>
      <c r="Q11" s="125"/>
      <c r="R11" s="126"/>
      <c r="S11" s="127"/>
      <c r="T11" s="128"/>
      <c r="U11" s="129">
        <f t="shared" si="3"/>
        <v>0</v>
      </c>
      <c r="V11" s="129">
        <f t="shared" si="1"/>
        <v>0</v>
      </c>
      <c r="W11" s="129">
        <f>U11*0.72</f>
        <v>0</v>
      </c>
      <c r="X11" s="130">
        <f t="shared" si="4"/>
        <v>0</v>
      </c>
    </row>
    <row r="12" spans="2:24" ht="88.5" customHeight="1" x14ac:dyDescent="0.35">
      <c r="B12" s="131" t="s">
        <v>325</v>
      </c>
      <c r="C12" s="114"/>
      <c r="D12" s="113">
        <v>6</v>
      </c>
      <c r="E12" s="113" t="s">
        <v>326</v>
      </c>
      <c r="F12" s="885">
        <v>88.58</v>
      </c>
      <c r="G12" s="115"/>
      <c r="H12" s="116"/>
      <c r="I12" s="139"/>
      <c r="J12" s="132"/>
      <c r="K12" s="140"/>
      <c r="L12" s="120"/>
      <c r="M12" s="121"/>
      <c r="N12" s="122"/>
      <c r="O12" s="123"/>
      <c r="P12" s="124"/>
      <c r="Q12" s="125"/>
      <c r="R12" s="126"/>
      <c r="S12" s="127"/>
      <c r="T12" s="128"/>
      <c r="U12" s="129">
        <f t="shared" si="3"/>
        <v>0</v>
      </c>
      <c r="V12" s="129">
        <f t="shared" si="1"/>
        <v>0</v>
      </c>
      <c r="W12" s="129">
        <f>U12*1.1</f>
        <v>0</v>
      </c>
      <c r="X12" s="130">
        <f t="shared" si="4"/>
        <v>0</v>
      </c>
    </row>
    <row r="13" spans="2:24" ht="90.75" customHeight="1" x14ac:dyDescent="0.35">
      <c r="B13" s="438" t="s">
        <v>32</v>
      </c>
      <c r="C13" s="113"/>
      <c r="D13" s="113">
        <v>3</v>
      </c>
      <c r="E13" s="113" t="s">
        <v>327</v>
      </c>
      <c r="F13" s="885">
        <v>114.33</v>
      </c>
      <c r="G13" s="115"/>
      <c r="H13" s="116"/>
      <c r="I13" s="139"/>
      <c r="J13" s="132"/>
      <c r="K13" s="140"/>
      <c r="L13" s="120"/>
      <c r="M13" s="121"/>
      <c r="N13" s="122"/>
      <c r="O13" s="123"/>
      <c r="P13" s="124"/>
      <c r="Q13" s="125"/>
      <c r="R13" s="126"/>
      <c r="S13" s="127"/>
      <c r="T13" s="128"/>
      <c r="U13" s="129">
        <f t="shared" si="3"/>
        <v>0</v>
      </c>
      <c r="V13" s="129">
        <f t="shared" si="1"/>
        <v>0</v>
      </c>
      <c r="W13" s="129">
        <f>U13*0.94</f>
        <v>0</v>
      </c>
      <c r="X13" s="130">
        <f t="shared" si="4"/>
        <v>0</v>
      </c>
    </row>
    <row r="14" spans="2:24" ht="90" customHeight="1" x14ac:dyDescent="0.35">
      <c r="B14" s="438" t="s">
        <v>34</v>
      </c>
      <c r="C14" s="113"/>
      <c r="D14" s="113">
        <v>3</v>
      </c>
      <c r="E14" s="113" t="s">
        <v>328</v>
      </c>
      <c r="F14" s="885">
        <v>111.24000000000001</v>
      </c>
      <c r="G14" s="115"/>
      <c r="H14" s="116"/>
      <c r="I14" s="139"/>
      <c r="J14" s="132"/>
      <c r="K14" s="140"/>
      <c r="L14" s="120"/>
      <c r="M14" s="121"/>
      <c r="N14" s="122"/>
      <c r="O14" s="123"/>
      <c r="P14" s="124"/>
      <c r="Q14" s="125"/>
      <c r="R14" s="126"/>
      <c r="S14" s="127"/>
      <c r="T14" s="128"/>
      <c r="U14" s="129">
        <f t="shared" si="3"/>
        <v>0</v>
      </c>
      <c r="V14" s="129">
        <f t="shared" si="1"/>
        <v>0</v>
      </c>
      <c r="W14" s="129">
        <f>U14*0.89</f>
        <v>0</v>
      </c>
      <c r="X14" s="130">
        <f t="shared" si="4"/>
        <v>0</v>
      </c>
    </row>
    <row r="15" spans="2:24" ht="91.5" customHeight="1" x14ac:dyDescent="0.35">
      <c r="B15" s="438" t="s">
        <v>329</v>
      </c>
      <c r="C15" s="113"/>
      <c r="D15" s="113">
        <v>2</v>
      </c>
      <c r="E15" s="113" t="s">
        <v>330</v>
      </c>
      <c r="F15" s="885">
        <v>44.29</v>
      </c>
      <c r="G15" s="115"/>
      <c r="H15" s="116"/>
      <c r="I15" s="139"/>
      <c r="J15" s="132"/>
      <c r="K15" s="140"/>
      <c r="L15" s="120"/>
      <c r="M15" s="121"/>
      <c r="N15" s="122"/>
      <c r="O15" s="123"/>
      <c r="P15" s="124"/>
      <c r="Q15" s="125"/>
      <c r="R15" s="126"/>
      <c r="S15" s="127"/>
      <c r="T15" s="128"/>
      <c r="U15" s="129">
        <f t="shared" si="3"/>
        <v>0</v>
      </c>
      <c r="V15" s="129">
        <f t="shared" si="1"/>
        <v>0</v>
      </c>
      <c r="W15" s="129">
        <f>U15*0.6</f>
        <v>0</v>
      </c>
      <c r="X15" s="130">
        <f t="shared" si="4"/>
        <v>0</v>
      </c>
    </row>
    <row r="16" spans="2:24" ht="91.5" customHeight="1" x14ac:dyDescent="0.35">
      <c r="B16" s="438" t="s">
        <v>331</v>
      </c>
      <c r="C16" s="113"/>
      <c r="D16" s="113">
        <v>2</v>
      </c>
      <c r="E16" s="113" t="s">
        <v>332</v>
      </c>
      <c r="F16" s="885">
        <v>103</v>
      </c>
      <c r="G16" s="115"/>
      <c r="H16" s="116"/>
      <c r="I16" s="139"/>
      <c r="J16" s="132"/>
      <c r="K16" s="140"/>
      <c r="L16" s="120"/>
      <c r="M16" s="121"/>
      <c r="N16" s="122"/>
      <c r="O16" s="123"/>
      <c r="P16" s="124"/>
      <c r="Q16" s="125"/>
      <c r="R16" s="126"/>
      <c r="S16" s="127"/>
      <c r="T16" s="128"/>
      <c r="U16" s="129">
        <f t="shared" si="3"/>
        <v>0</v>
      </c>
      <c r="V16" s="129">
        <f t="shared" si="1"/>
        <v>0</v>
      </c>
      <c r="W16" s="129">
        <f>U13*0.98</f>
        <v>0</v>
      </c>
      <c r="X16" s="130">
        <f t="shared" si="4"/>
        <v>0</v>
      </c>
    </row>
    <row r="17" spans="2:24" ht="89.25" customHeight="1" x14ac:dyDescent="0.6">
      <c r="B17" s="361" t="s">
        <v>38</v>
      </c>
      <c r="C17" s="40"/>
      <c r="D17" s="40">
        <v>2</v>
      </c>
      <c r="E17" s="40" t="s">
        <v>333</v>
      </c>
      <c r="F17" s="927">
        <v>88.58</v>
      </c>
      <c r="G17" s="115"/>
      <c r="H17" s="116"/>
      <c r="I17" s="139"/>
      <c r="J17" s="132"/>
      <c r="K17" s="140"/>
      <c r="L17" s="120"/>
      <c r="M17" s="121"/>
      <c r="N17" s="122"/>
      <c r="O17" s="123"/>
      <c r="P17" s="124"/>
      <c r="Q17" s="125"/>
      <c r="R17" s="126"/>
      <c r="S17" s="439"/>
      <c r="T17" s="128"/>
      <c r="U17" s="129">
        <f t="shared" si="3"/>
        <v>0</v>
      </c>
      <c r="V17" s="129">
        <f t="shared" si="1"/>
        <v>0</v>
      </c>
      <c r="W17" s="129">
        <f>U14*0.77</f>
        <v>0</v>
      </c>
      <c r="X17" s="130">
        <f t="shared" si="4"/>
        <v>0</v>
      </c>
    </row>
    <row r="18" spans="2:24" ht="89.25" customHeight="1" x14ac:dyDescent="0.6">
      <c r="B18" s="361" t="s">
        <v>334</v>
      </c>
      <c r="C18" s="40"/>
      <c r="D18" s="40">
        <v>2</v>
      </c>
      <c r="E18" s="40" t="s">
        <v>335</v>
      </c>
      <c r="F18" s="927">
        <v>131.84</v>
      </c>
      <c r="G18" s="115"/>
      <c r="H18" s="116"/>
      <c r="I18" s="139"/>
      <c r="J18" s="132"/>
      <c r="K18" s="140"/>
      <c r="L18" s="120"/>
      <c r="M18" s="121"/>
      <c r="N18" s="122"/>
      <c r="O18" s="123"/>
      <c r="P18" s="124"/>
      <c r="Q18" s="125"/>
      <c r="R18" s="126"/>
      <c r="S18" s="439"/>
      <c r="T18" s="128"/>
      <c r="U18" s="129">
        <f t="shared" si="3"/>
        <v>0</v>
      </c>
      <c r="V18" s="129">
        <f t="shared" si="1"/>
        <v>0</v>
      </c>
      <c r="W18" s="129">
        <f>U14*1.41</f>
        <v>0</v>
      </c>
      <c r="X18" s="130">
        <f t="shared" si="4"/>
        <v>0</v>
      </c>
    </row>
    <row r="19" spans="2:24" ht="14.5" x14ac:dyDescent="0.35">
      <c r="G19" s="74">
        <f>SUM(G6:G18)</f>
        <v>0</v>
      </c>
      <c r="H19" s="74">
        <f t="shared" ref="H19:W19" si="6">SUM(H6:H18)</f>
        <v>0</v>
      </c>
      <c r="I19" s="74">
        <f t="shared" si="6"/>
        <v>0</v>
      </c>
      <c r="J19" s="74">
        <f t="shared" si="6"/>
        <v>0</v>
      </c>
      <c r="K19" s="74">
        <f t="shared" si="6"/>
        <v>0</v>
      </c>
      <c r="L19" s="74">
        <f t="shared" si="6"/>
        <v>0</v>
      </c>
      <c r="M19" s="74">
        <f t="shared" si="6"/>
        <v>0</v>
      </c>
      <c r="N19" s="74">
        <f t="shared" si="6"/>
        <v>0</v>
      </c>
      <c r="O19" s="74">
        <f t="shared" si="6"/>
        <v>0</v>
      </c>
      <c r="P19" s="74">
        <f t="shared" si="6"/>
        <v>0</v>
      </c>
      <c r="Q19" s="74">
        <f t="shared" si="6"/>
        <v>0</v>
      </c>
      <c r="R19" s="74">
        <f t="shared" si="6"/>
        <v>0</v>
      </c>
      <c r="S19" s="74">
        <f t="shared" si="6"/>
        <v>0</v>
      </c>
      <c r="T19" s="74">
        <f t="shared" si="6"/>
        <v>0</v>
      </c>
      <c r="U19" s="74">
        <f t="shared" si="6"/>
        <v>0</v>
      </c>
      <c r="V19" s="74">
        <f t="shared" si="6"/>
        <v>0</v>
      </c>
      <c r="W19" s="74">
        <f t="shared" si="6"/>
        <v>0</v>
      </c>
      <c r="X19" s="75">
        <f>SUM(X6:X18)</f>
        <v>0</v>
      </c>
    </row>
    <row r="22" spans="2:24" ht="15.75" customHeight="1" x14ac:dyDescent="0.35"/>
    <row r="23" spans="2:24" ht="15.75" customHeight="1" x14ac:dyDescent="0.35"/>
    <row r="24" spans="2:24" ht="15.75" customHeight="1" x14ac:dyDescent="0.35"/>
    <row r="25" spans="2:24" ht="15.75" customHeight="1" x14ac:dyDescent="0.35"/>
    <row r="26" spans="2:24" ht="15.75" customHeight="1" x14ac:dyDescent="0.35"/>
    <row r="27" spans="2:24" ht="15.75" customHeight="1" x14ac:dyDescent="0.35"/>
    <row r="28" spans="2:24" ht="15.75" customHeight="1" x14ac:dyDescent="0.35"/>
    <row r="29" spans="2:24" ht="15.75" customHeight="1" x14ac:dyDescent="0.35"/>
    <row r="30" spans="2:24" ht="15.75" customHeight="1" x14ac:dyDescent="0.35"/>
    <row r="31" spans="2:24" ht="15.75" customHeight="1" x14ac:dyDescent="0.35"/>
    <row r="32" spans="2:24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</sheetData>
  <mergeCells count="2">
    <mergeCell ref="B3:D3"/>
    <mergeCell ref="B6:C6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DOWN JUG</vt:lpstr>
      <vt:lpstr>TERROR</vt:lpstr>
      <vt:lpstr>COMMAS DT</vt:lpstr>
      <vt:lpstr>COMMAS PE</vt:lpstr>
      <vt:lpstr>BOARDERLINE PE</vt:lpstr>
      <vt:lpstr>ECLIPSE</vt:lpstr>
      <vt:lpstr>HARD BOILED DT</vt:lpstr>
      <vt:lpstr>DRIFTS</vt:lpstr>
      <vt:lpstr>FANGS DT</vt:lpstr>
      <vt:lpstr>LOAVES</vt:lpstr>
      <vt:lpstr>ROCK LINE</vt:lpstr>
      <vt:lpstr>SMOOTHLINE</vt:lpstr>
      <vt:lpstr>FIBERGLASS MACROS</vt:lpstr>
      <vt:lpstr>THERMO PLASTIC MACROS DUAL </vt:lpstr>
      <vt:lpstr>THERMO PLASTIC MACROS FT</vt:lpstr>
      <vt:lpstr>WOOD VOLUME</vt:lpstr>
      <vt:lpstr>TOTAL</vt:lpstr>
      <vt:lpstr>TOTALS</vt:lpstr>
      <vt:lpstr>NEW Wooden volume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Thibault Sup'r Toussaint</dc:creator>
  <cp:lastModifiedBy>Eric Yong Khang Lim</cp:lastModifiedBy>
  <dcterms:created xsi:type="dcterms:W3CDTF">2025-09-29T06:48:20Z</dcterms:created>
  <dcterms:modified xsi:type="dcterms:W3CDTF">2026-01-29T10:55:30Z</dcterms:modified>
</cp:coreProperties>
</file>